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iesa\Desktop\"/>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8800" windowHeight="117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<sst xmlns="http://schemas.openxmlformats.org/spreadsheetml/2006/main" count="983" uniqueCount="732">
  <si>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</si>
  <si>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</si>
  <si>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</si>
  <si>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</si>
  <si>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</si>
  <si>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</si>
  <si>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</si>
  <si>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</si>
  <si>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</si>
  <si>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</si>
  <si>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</si>
  <si>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</si>
  <si>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</si>
  <si>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</si>
  <si>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</si>
  <si>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</si>
  <si>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</si>
  <si>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</si>
  <si>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</si>
  <si>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</si>
  <si>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</si>
  <si>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</si>
  <si>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</si>
  <si>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</si>
  <si>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</si>
  <si>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</si>
  <si>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</si>
  <si>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</si>
  <si>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</si>
  <si>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</si>
  <si>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</si>
  <si>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</si>
  <si>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</si>
  <si>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</si>
  <si>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</si>
  <si>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</si>
  <si>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</si>
  <si>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</si>
  <si>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</si>
  <si>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</si>
  <si>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</si>
  <si>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</si>
  <si>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</si>
  <si>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</si>
  <si>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</si>
  <si>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</si>
  <si>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</si>
  <si>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</si>
  <si>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</si>
  <si>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</si>
  <si>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</si>
  <si>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</si>
  <si>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</si>
  <si>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</si>
  <si>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</si>
  <si>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</si>
  <si>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</si>
  <si>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</si>
  <si>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</si>
  <si>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</si>
  <si>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</si>
  <si>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</si>
  <si>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</si>
  <si>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</si>
  <si>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</si>
  <si>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</si>
  <si>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</si>
  <si>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</si>
  <si>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</si>
  <si>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</si>
  <si>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</si>
  <si>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</si>
  <si>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</si>
  <si>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</si>
  <si>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</si>
  <si>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</si>
  <si>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</si>
  <si>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</si>
  <si>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</si>
  <si>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</si>
  <si>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</si>
  <si>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</si>
  <si>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</si>
  <si>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</si>
  <si>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</si>
  <si>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</si>
  <si>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</si>
  <si>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</si>
  <si>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</si>
  <si>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</si>
  <si>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</si>
  <si>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</si>
  <si>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</si>
  <si>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</si>
  <si>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</si>
  <si>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</si>
  <si>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</si>
  <si>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</si>
  <si>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</si>
  <si>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</si>
  <si>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</si>
  <si>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</si>
  <si>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</si>
  <si>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</si>
  <si>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</si>
  <si>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</si>
  <si>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</si>
  <si>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</si>
  <si>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</si>
  <si>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</si>
  <si>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</si>
  <si>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</si>
  <si>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</si>
  <si>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</si>
  <si>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</si>
  <si>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</si>
  <si>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</si>
  <si>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</si>
  <si>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</si>
  <si>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</si>
  <si>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</si>
  <si>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</si>
  <si>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</si>
  <si>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</si>
  <si>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</si>
  <si>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</si>
  <si>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</si>
  <si>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</si>
  <si>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</si>
  <si>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</si>
  <si>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</si>
  <si>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</si>
  <si>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</si>
  <si>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</si>
  <si>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</si>
  <si>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</si>
  <si>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</si>
  <si>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</si>
  <si>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</si>
  <si>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</si>
  <si>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</si>
  <si>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</si>
  <si>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</si>
  <si>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</si>
  <si>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</si>
  <si>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</si>
  <si>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</si>
  <si>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</si>
  <si>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</si>
  <si>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</si>
  <si>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</si>
  <si>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</si>
  <si>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</si>
  <si>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</si>
  <si>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</si>
  <si>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</si>
  <si>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</si>
  <si>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</si>
  <si>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</si>
  <si>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</si>
  <si>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</si>
  <si>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</si>
  <si>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</si>
  <si>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</si>
  <si>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</si>
  <si>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</si>
  <si>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</si>
  <si>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</si>
  <si>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</si>
  <si>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</si>
  <si>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</si>
  <si>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</si>
  <si>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</si>
  <si>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</si>
  <si>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</si>
  <si>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</si>
  <si>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</si>
  <si>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</si>
  <si>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</si>
  <si>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</si>
  <si>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</si>
  <si>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</si>
  <si>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</si>
  <si>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</si>
  <si>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</si>
  <si>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</si>
  <si>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</si>
  <si>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</si>
  <si>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</si>
  <si>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</si>
  <si>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</si>
  <si>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</si>
  <si>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</si>
  <si>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</si>
  <si>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</si>
  <si>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</si>
  <si>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</si>
  <si>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</si>
  <si>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</si>
  <si>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</si>
  <si>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</si>
  <si>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</si>
  <si>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</si>
  <si>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</si>
  <si>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</si>
  <si>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</si>
  <si>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</si>
  <si>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</si>
  <si>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</si>
  <si>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</si>
  <si>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</si>
  <si>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</si>
  <si>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</si>
  <si>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</si>
  <si>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</si>
  <si>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</si>
  <si>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</si>
  <si>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</si>
  <si>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</si>
  <si>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</si>
  <si>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</si>
  <si>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</si>
  <si>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</si>
  <si>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</si>
  <si>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</si>
  <si>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</si>
  <si>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</si>
  <si>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</si>
  <si>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</si>
  <si>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</si>
  <si>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</si>
  <si>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</si>
  <si>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</si>
  <si>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</si>
  <si>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</si>
  <si>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</si>
  <si>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</si>
  <si>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</si>
  <si>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</si>
  <si>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</si>
  <si>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</si>
  <si>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</si>
  <si>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</si>
  <si>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</si>
  <si>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</si>
  <si>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</si>
  <si>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</si>
  <si>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</si>
  <si>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</si>
  <si>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</si>
  <si>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</si>
  <si>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</si>
  <si>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</si>
  <si>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</si>
  <si>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</si>
  <si>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</si>
  <si>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</si>
  <si>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</si>
  <si>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</si>
  <si>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</si>
  <si>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</si>
  <si>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</si>
  <si>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</si>
  <si>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</si>
  <si>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</si>
  <si>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</si>
  <si>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</si>
  <si>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</si>
  <si>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</si>
  <si>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</si>
  <si>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</si>
  <si>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</si>
  <si>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</si>
  <si>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</si>
  <si>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</si>
  <si>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</si>
  <si>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</si>
  <si>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</si>
  <si>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</si>
  <si>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</si>
  <si>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</si>
  <si>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</si>
  <si>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</si>
  <si>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</si>
  <si>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</si>
  <si>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</si>
  <si>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</si>
  <si>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</si>
  <si>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</si>
  <si>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</si>
  <si>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</si>
  <si>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</si>
  <si>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</si>
  <si>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</si>
  <si>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</si>
  <si>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</si>
  <si>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</si>
  <si>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</si>
  <si>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</si>
  <si>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</si>
  <si>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</si>
  <si>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</si>
  <si>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</si>
  <si>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</si>
  <si>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</si>
  <si>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</si>
  <si>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</si>
  <si>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</si>
  <si>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</si>
  <si>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</si>
  <si>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</si>
  <si>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</si>
  <si>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</si>
  <si>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</si>
  <si>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</si>
  <si>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</si>
  <si>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</si>
  <si>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</si>
  <si>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</si>
  <si>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</si>
  <si>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</si>
  <si>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</si>
  <si>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</si>
  <si>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</si>
  <si>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</si>
  <si>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</si>
  <si>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</si>
  <si>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</si>
  <si>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</si>
  <si>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</si>
  <si>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</si>
  <si>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</si>
  <si>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</si>
  <si>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</si>
  <si>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</si>
  <si>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</si>
  <si>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</si>
  <si>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</si>
  <si>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</si>
  <si>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</si>
  <si>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</si>
  <si>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</si>
  <si>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</si>
  <si>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</si>
  <si>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</si>
  <si>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</si>
  <si>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</si>
  <si>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</si>
  <si>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</si>
  <si>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</si>
  <si>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</si>
  <si>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</si>
  <si>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</si>
  <si>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</si>
  <si>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</si>
  <si>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</si>
  <si>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</si>
  <si>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</si>
  <si>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</si>
  <si>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</si>
  <si>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</si>
  <si>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</si>
  <si>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</si>
  <si>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</si>
  <si>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</si>
  <si>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</si>
  <si>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</si>
  <si>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</si>
  <si>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</si>
  <si>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</si>
  <si>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</si>
  <si>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</si>
  <si>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</si>
  <si>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</si>
  <si>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</si>
  <si>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</si>
  <si>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</si>
  <si>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</si>
  <si>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</si>
  <si>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</si>
  <si>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</si>
  <si>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</si>
  <si>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</si>
  <si>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</si>
  <si>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</si>
  <si>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</si>
  <si>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</si>
  <si>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</si>
  <si>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</si>
  <si>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</si>
  <si>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</si>
  <si>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</si>
  <si>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</si>
  <si>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</si>
  <si>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</si>
  <si>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</si>
  <si>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</si>
  <si>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</si>
  <si>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</si>
  <si>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</si>
  <si>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</si>
  <si>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</si>
  <si>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</si>
  <si>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</si>
  <si>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</si>
  <si>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</si>
  <si>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</si>
  <si>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</si>
  <si>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</si>
  <si>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</si>
  <si>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</si>
  <si>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</si>
  <si>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</si>
  <si>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</si>
  <si>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</si>
  <si>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</si>
  <si>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</si>
  <si>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</si>
  <si>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</si>
  <si>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</si>
  <si>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</si>
  <si>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</si>
  <si>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</si>
  <si>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</si>
  <si>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</si>
  <si>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</si>
  <si>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</si>
  <si>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</si>
  <si>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</si>
  <si>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</si>
  <si>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</si>
  <si>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</si>
  <si>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</si>
  <si>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</si>
  <si>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</si>
  <si>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</si>
  <si>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</si>
  <si>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</si>
  <si>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</si>
  <si>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</si>
  <si>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</si>
  <si>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</si>
  <si>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</si>
  <si>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</si>
  <si>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</si>
  <si>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</si>
  <si>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</si>
  <si>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</si>
  <si>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</si>
  <si>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</si>
  <si>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</si>
  <si>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</si>
  <si>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</si>
  <si>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</si>
  <si>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</si>
  <si>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</si>
  <si>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</si>
  <si>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</si>
  <si>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</si>
  <si>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</si>
  <si>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</si>
  <si>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</si>
  <si>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</si>
  <si>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</si>
  <si>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</si>
  <si>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</si>
  <si>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</si>
  <si>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</si>
  <si>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</si>
  <si>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</si>
  <si>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</si>
  <si>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</si>
  <si>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</si>
  <si>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</si>
  <si>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</si>
  <si>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</si>
  <si>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</si>
  <si>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</si>
  <si>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</si>
  <si>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</si>
  <si>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</si>
  <si>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</si>
  <si>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</si>
  <si>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</si>
  <si>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</si>
  <si>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</si>
  <si>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</si>
  <si>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</si>
  <si>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</si>
  <si>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</si>
  <si>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</si>
  <si>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</si>
  <si>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</si>
  <si>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</si>
  <si>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</si>
  <si>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</si>
  <si>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</si>
  <si>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</si>
  <si>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</si>
  <si>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</si>
  <si>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</si>
  <si>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</si>
  <si>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</si>
  <si>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</si>
  <si>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</si>
  <si>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</si>
  <si>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</si>
  <si>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</si>
  <si>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</si>
  <si>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</si>
  <si>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</si>
  <si>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</si>
  <si>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</si>
  <si>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</si>
  <si>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</si>
  <si>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</si>
  <si>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</si>
  <si>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</si>
  <si>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</si>
  <si>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</si>
  <si>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</si>
  <si>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</si>
  <si>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</si>
  <si>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</si>
  <si>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</si>
  <si>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</si>
  <si>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</si>
  <si>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</si>
  <si>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</si>
  <si>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</si>
  <si>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</si>
  <si>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</si>
  <si>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</si>
  <si>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</si>
  <si>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</si>
  <si>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</si>
  <si>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</si>
  <si>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</si>
  <si>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</si>
  <si>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</si>
  <si>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</si>
  <si>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</si>
  <si>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</si>
  <si>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</si>
  <si>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</si>
  <si>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</si>
  <si>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</si>
  <si>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</si>
  <si>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</si>
  <si>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</si>
  <si>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</si>
  <si>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</si>
  <si>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</si>
  <si>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</si>
  <si>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</si>
  <si>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</si>
  <si>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</si>
  <si>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</si>
  <si>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</si>
  <si>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</si>
  <si>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</si>
  <si>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</si>
  <si>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</si>
  <si>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</si>
  <si>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</si>
  <si>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</si>
  <si>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</si>
  <si>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</si>
  <si>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</si>
  <si>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</si>
  <si>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</si>
  <si>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</si>
  <si>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</si>
  <si>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</si>
  <si>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</si>
  <si>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</si>
  <si>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</si>
  <si>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</si>
  <si>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</si>
  <si>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</si>
  <si>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</si>
  <si>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</si>
  <si>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</si>
  <si>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</si>
  <si>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</si>
  <si>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</si>
  <si>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</si>
  <si>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</si>
  <si>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</si>
  <si>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</si>
  <si>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</si>
  <si>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</si>
  <si>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</si>
  <si>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</si>
  <si>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</si>
  <si>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</si>
  <si>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</si>
  <si>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</si>
  <si>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</si>
  <si>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</si>
  <si>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</si>
  <si>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</si>
  <si>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</si>
  <si>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</si>
  <si>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</si>
  <si>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</si>
  <si>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</si>
  <si>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</si>
  <si>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</si>
  <si>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</si>
  <si>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</si>
  <si>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</si>
  <si>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</si>
  <si>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</si>
  <si>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</si>
  <si>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</si>
  <si>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</si>
  <si>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</si>
  <si>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</si>
  <si>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</si>
  <si>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</si>
  <si>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</si>
  <si>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</si>
  <si>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</si>
  <si>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</si>
  <si>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</si>
  <si>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</si>
  <si>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</si>
  <si>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</si>
  <si>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</si>
  <si>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</si>
  <si>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</si>
  <si>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</si>
  <si>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</si>
  <si>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</si>
  <si>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</si>
  <si>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</si>
  <si>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</si>
  <si>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</si>
  <si>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</si>
  <si>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</si>
  <si>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</si>
  <si>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</si>
  <si>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</si>
  <si>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</si>
  <si>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</si>
  <si>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</si>
  <si>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</si>
  <si>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</si>
  <si>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</si>
  <si>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</si>
  <si>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</si>
  <si>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</si>
  <si>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</si>
  <si>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</si>
  <si>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</si>
  <si>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</si>
  <si>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</si>
  <si>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</si>
  <si>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</si>
  <si>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</si>
  <si>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</si>
  <si>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</si>
  <si>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</si>
  <si>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</si>
  <si>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</si>
  <si>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</si>
  <si>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</si>
  <si>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</si>
  <si>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</si>
  <si>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</si>
  <si>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</si>
  <si>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</si>
  <si>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</si>
  <si>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</si>
  <si>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</si>
  <si>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</si>
  <si>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LUCA</t>
  </si>
  <si>
    <t>ROMANELLI</t>
  </si>
  <si>
    <t>SA</t>
  </si>
  <si>
    <t>MILANO</t>
  </si>
  <si>
    <t>MI</t>
  </si>
  <si>
    <t>ITALIANO</t>
  </si>
  <si>
    <t>INGLESE</t>
  </si>
  <si>
    <t>INGEGNERIA MECCANICA</t>
  </si>
  <si>
    <t>1996</t>
  </si>
  <si>
    <t>110/110</t>
  </si>
  <si>
    <t>1997</t>
  </si>
  <si>
    <t>S.D.O.A. Scuola di Direzione ed Organizzazione Aziendale – Fondazione A. Genovesi</t>
  </si>
  <si>
    <t>MBA - MASTER IN DIREZIONE D'IMPRESA (ACCREDITATO ASFOR)</t>
  </si>
  <si>
    <t>CON MERITO</t>
  </si>
  <si>
    <t>In corso</t>
  </si>
  <si>
    <t xml:space="preserve">FISCIANO </t>
  </si>
  <si>
    <t>RICERCA E SVILUPPO; PRODUZIONE SOFTWARE</t>
  </si>
  <si>
    <t>RIATLAS SRL (START UP INNOVATIVA E SPIN OFF UNIVERSITA' DEGLI STUDI DI SALERNO)</t>
  </si>
  <si>
    <t>Sviluppo applicazioni di salute digitale (e-health), sfruttando le potenzialità dell’Intelligenza Artificiale. Progrettazione, valutazione, gestione e monitoraggio di progetti di ricerca, trasferimento tecnologico e innovazione digitale, a valere su bandi finanziati.</t>
  </si>
  <si>
    <t>AB MEDICA</t>
  </si>
  <si>
    <t>CERRO MAGGIORE</t>
  </si>
  <si>
    <t>DISTRIBUTORE DISPOSITIVI MEDICALI; RICERCA E SVILUPPO</t>
  </si>
  <si>
    <t>02/11/2006</t>
  </si>
  <si>
    <t>03/06/2012</t>
  </si>
  <si>
    <t>FISCIANO</t>
  </si>
  <si>
    <t>MOMA SPA (SPIN OFF UNIVERSITA' DEGLI STUDI DI SALERNO)</t>
  </si>
  <si>
    <t>PRODUZIONE E SVILUPPO SOFTWARE; RICERCA E SVILUPPO</t>
  </si>
  <si>
    <t>CRMPA – CENTRO DI RICERCA DI MATEMATICA PURA E APPLICATA dell’Università degli Studi di Salerno</t>
  </si>
  <si>
    <t>07/11/2011</t>
  </si>
  <si>
    <t>09/05/2012</t>
  </si>
  <si>
    <t>RICERCA E SVILUPPO</t>
  </si>
  <si>
    <t xml:space="preserve">Progettazione e sviluppo di soluzioni digitali innovative. Progettazione, pianificazione e controllo di gestione di progetti di ricerca a valere su finanziamenti comunitari.
</t>
  </si>
  <si>
    <t>Gestione risorse umane. Project manager. Business development.</t>
  </si>
  <si>
    <t>CONSULENZA AZIENDALE</t>
  </si>
  <si>
    <t>01/09/1998</t>
  </si>
  <si>
    <t>31/10/2012</t>
  </si>
  <si>
    <t xml:space="preserve">Progettazione, implementazione e gestione di soluzioni informatiche presso top client. Assessment, monitoraggio e valutazione di implementazioni complesse di soluzioni ICT in ambito pubblico e privato. </t>
  </si>
  <si>
    <t>KPMG Management Consulting</t>
  </si>
  <si>
    <t>UNIVERSITA' DEGLI STUDI DI NAPOLI - FEDERICO II</t>
  </si>
  <si>
    <t>Studio per l’avviamento di una nuova linea produttiva in una azienda orientata alla qualità totale (TEXAS INSTRUMENTS)</t>
  </si>
  <si>
    <t xml:space="preserve">Coordimanento e gestione risorse umane. Project manager. Gestione rapporti istituzionali con ente erogatore, aziende ed istituti di ricerca.
</t>
  </si>
  <si>
    <t>Progetti strategici di innovazione e trasferimento tecnologico per lo sviluppo di soluzioni e modelli socio-sanitari (telemedicina, biotecnologie, medical device) per le aziende del gruppo. Progettazione e sviluppo di applicazioni digitali per la presa in carico e monitoraggio da remoto dei pazienti. Predisposizione, progettazione e monitoraggio progetti di ricerca finanziata.</t>
  </si>
  <si>
    <t>Coordinamento e gestione area ricerca e sviluppo. Responsabile rapporti istituzionali con enti ed istituti di ricerca. Project manager. Business development.</t>
  </si>
  <si>
    <t>Manager dell'organismo di ricerca (direttore operativo).</t>
  </si>
  <si>
    <t>MIUR</t>
  </si>
  <si>
    <t>Programma Operativo Nazionale “Ricerca e Competitività 2007-2013” Regioni Convergenza, D.D. 18 gennaio 2010 prot. n. 1/Ric. - 18/01/2010</t>
  </si>
  <si>
    <t xml:space="preserve">Presentazione di progetti di ricerca industriale nell’ambito del  Programma Operativo Nazionale “Ricerca e Competitività 2007-2013” Regioni Convergenza ASSE I – Sostegno ai mutamenti strutturali  Obiettivo Operativo: Aree scientifico-tecnologiche generatrici di processi di trasformazione del sistema produttivo e creatrici di nuovi settori Azione: Interventi di sostegno della ricerca industriale </t>
  </si>
  <si>
    <t>2010</t>
  </si>
  <si>
    <t>10705160967</t>
  </si>
  <si>
    <t>ROMANELLI LUCA (DITTA INDIVIDUALE)</t>
  </si>
  <si>
    <t>Consulente e analista di processo. Project manager. Project &amp; Change Management per la gestione, valutazione e monitoraggio di progetti complessi in ambito ICT, anche presso il Global Consulting Solution Center di KPMG USA.</t>
  </si>
  <si>
    <t>Valutazione e monitoraggio fondi strutturali e programmi di finanziamento (PON, POR) in ambito ICT per la programmazione e sviluppo di interventi finanziati. Predisposizione, redazione e monitoraggio di iniziative di ricerca finanziata in ambito europeo e nazionale (oltre 20 tra PON/POR e progetti europei FP7).</t>
  </si>
  <si>
    <t xml:space="preserve">Sono un ingegnere meccanico, indirizzo gestionale (MO05), che ha conseguito un master MBA, in direzione d’impresa (MO08). Ho maturato un’esperienza pluriennale nell’ambito della ricerca, sviluppo e trasferimento tecnologico, sia nel settore Salute (MO01) che Smart cities and communities, presso aziende ed organismi di ricerca. 
Ho gestito numerosi progetti innovativi di digital health, a valere su bandi di finanziamento pubblico (regionale, nazionali ed europei), per la realizzazione di prodotti e servizi per la presa in carico, gestione e monitoraggio da remoto di pazienti (es. sviluppo soluzioni software per progetto CREG di Regione Lombardia) MO02 E  MO04, la neuro-riabilitazione MO03 e/o lo sviluppo di dispostivi medicali innovativi MO02 E MO03 (es. dispositivo EEg wireless, dispositivo ECG wireless). In particolare, ho gestito progetti di ricerca e sviluppo nel settore della Salute, a valere su bandi di: a) Regione Lombardia: ABILITY - Integrated platform enabling the remote delivery and control of physical and cognitive rehabilitation, and self management (2014-2015); THINK&amp;GO: Transfer Health INnovation through Knowledge &amp; Generate Organised technological approaches in rehabilitation (2013-2015); ARTE - Analisi EEG del Trattamento Robotico (2016-2018); b) MIUR Cluster TAV Lombardia: DESIGN FOR ALL - SW Interoperability and advance Human Machine Interfaces in design for Ambient Assisted Living, MIUR (2013-2016); c) MIUR Cluster Scienza della Vita: IRMI – Medicina rigenerativa.
Ho maturato specifiche competenze nella selezione, e progettazione di progetti di ricerca finanziati (bandi regionali, nazionali ed europei), dalla stesura della proposta fino al coordinamento del partenariato. Nell’esperienza presso il CRMPA – CENTRO DI RICERCA DI MATEMATICA PURA E APPLICATA dell’Università degli Studi di Salerno M018 e MOMA - spin off universitario M017 ho maturato specifiche competenze per la valutazione e monitoraggio tecnico di bandi (ex ante, ex post e in itinere), a valere su fondi di finanziamento regionali, nazionali ed europei, supportando l’attività di esperti valutatori.
</t>
  </si>
  <si>
    <t xml:space="preserve">Attualmente sono impegnato nello sviluppo di una start-up innovativa RIATLAS (M015), spin-off universitario, per la realizzazione di soluzioni digitali per la salute, basate sull’Intelligenza Artificiale (M001). Mi occupo, inoltre, della progettazione e realizzazione di progetti di innovazione e trasformazione digitale per il settore salute (e-health), a valere su bandi di finanziamento per la ricerca e lo sviluppo sperimentale (PON, POR, H2020), in collaborazione con aziende e organismi di ricerca.
In AB MEDICA (MO16), leader nel settore medicale, ha guidato l’area ricerca e sviluppo, gestendo i rapporti istituzionali con enti di ricerca (Cluster Scienza della Vita e TAV) per le aziende del gruppo (Telbios Genomnia Rizzoli ATLC). In AB MEDICA mi sono anche occupato della digital trasformation del gruppo, gestendo progetti innovativi per lo sviluppo, il trasferimento, la certificazione e l’introduzione sul mercato di medical device.
Sono stato manager del centro di ricerca CRMPA (MO18) presso l’Università di Salerno e amministratore di MOMA SPA (MO17), coordinando e gestendo progetti di ricerca finanziati per l'area salute MO01 e Smart communities MO31. 
Ho gestito progetti organizzativi complessi di trasferimento tecnologico in KPMG (MO19), nell’ambito di implementazioni di soluzioni informatiche, anche con periodi all’estero presso la sede di Washington (Global Consulting Solution Center di KPMG USA). 
</t>
  </si>
  <si>
    <t>1970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</si>
</sst>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7" zoomScaleNormal="100" workbookViewId="0">
      <selection activeCell="D15" sqref="D1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LUCA ROMANELLI;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row>
    <row r="14" spans="1:4" ht="15" customHeight="1" x14ac:dyDescent="0.35">
      <c r="A14" s="11"/>
      <c r="B14" s="5"/>
      <c r="C14" s="5"/>
      <c r="D14" s="5"/>
    </row>
    <row r="15" spans="1:4" ht="15" customHeight="1" x14ac:dyDescent="0.35">
      <c r="A15" s="11" t="s">
        <v>94</v>
      </c>
      <c r="B15" s="5"/>
      <c r="C15" s="6" t="s">
        <v>62</v>
      </c>
      <c r="D15" s="3"/>
    </row>
    <row r="16" spans="1:4" ht="15" customHeight="1" x14ac:dyDescent="0.35">
      <c r="A16" s="11" t="s">
        <v>95</v>
      </c>
      <c r="B16" s="5"/>
      <c r="C16" s="6" t="s">
        <v>63</v>
      </c>
      <c r="D16" s="3"/>
    </row>
    <row r="17" spans="1:4" ht="15" customHeight="1" x14ac:dyDescent="0.35">
      <c r="A17" s="11" t="s">
        <v>96</v>
      </c>
      <c r="B17" s="5"/>
      <c r="C17" s="6" t="s">
        <v>100</v>
      </c>
      <c r="D17" s="3"/>
    </row>
    <row r="18" spans="1:4" ht="15" customHeight="1" x14ac:dyDescent="0.35">
      <c r="A18" s="11" t="s">
        <v>97</v>
      </c>
      <c r="B18" s="5"/>
      <c r="C18" s="6" t="s">
        <v>101</v>
      </c>
      <c r="D18" s="3" t="s">
        <v>731</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t="s">
        <v>725</v>
      </c>
    </row>
    <row r="32" spans="1:4" ht="15" customHeight="1" x14ac:dyDescent="0.35">
      <c r="A32" s="11" t="s">
        <v>85</v>
      </c>
      <c r="B32" s="5"/>
      <c r="C32" s="6" t="s">
        <v>671</v>
      </c>
      <c r="D32" s="4" t="s">
        <v>726</v>
      </c>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682</v>
      </c>
    </row>
    <row r="43" spans="1:4" ht="15" customHeight="1" x14ac:dyDescent="0.35">
      <c r="A43" s="11" t="s">
        <v>107</v>
      </c>
      <c r="B43" s="5"/>
      <c r="C43" s="6" t="s">
        <v>126</v>
      </c>
      <c r="D43" s="4" t="s">
        <v>683</v>
      </c>
    </row>
    <row r="44" spans="1:4" ht="15" customHeight="1" x14ac:dyDescent="0.35">
      <c r="A44" s="11" t="s">
        <v>108</v>
      </c>
      <c r="B44" s="5"/>
      <c r="C44" s="6" t="s">
        <v>127</v>
      </c>
      <c r="D44" s="4" t="s">
        <v>321</v>
      </c>
    </row>
    <row r="45" spans="1:4" ht="15" customHeight="1" x14ac:dyDescent="0.35">
      <c r="A45" s="11" t="s">
        <v>109</v>
      </c>
      <c r="B45" s="5"/>
      <c r="C45" s="6" t="s">
        <v>128</v>
      </c>
      <c r="D45" s="4"/>
    </row>
    <row r="46" spans="1:4" ht="15" customHeight="1" x14ac:dyDescent="0.35">
      <c r="A46" s="11" t="s">
        <v>110</v>
      </c>
      <c r="B46" s="5"/>
      <c r="C46" s="6" t="s">
        <v>129</v>
      </c>
      <c r="D46" s="4"/>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55</v>
      </c>
    </row>
    <row r="54" spans="1:4" ht="15" customHeight="1" x14ac:dyDescent="0.35">
      <c r="A54" s="11" t="s">
        <v>134</v>
      </c>
      <c r="B54" s="5"/>
      <c r="C54" s="6" t="s">
        <v>355</v>
      </c>
      <c r="D54" s="4" t="s">
        <v>25</v>
      </c>
    </row>
    <row r="55" spans="1:4" ht="15" customHeight="1" x14ac:dyDescent="0.35">
      <c r="A55" s="11" t="s">
        <v>135</v>
      </c>
      <c r="B55" s="5"/>
      <c r="C55" s="6" t="s">
        <v>356</v>
      </c>
      <c r="D55" s="4" t="s">
        <v>23</v>
      </c>
    </row>
    <row r="56" spans="1:4" ht="15" customHeight="1" x14ac:dyDescent="0.35">
      <c r="A56" s="11" t="s">
        <v>136</v>
      </c>
      <c r="B56" s="5"/>
      <c r="C56" s="6" t="s">
        <v>474</v>
      </c>
      <c r="D56" s="4" t="s">
        <v>22</v>
      </c>
    </row>
    <row r="57" spans="1:4" ht="15" customHeight="1" x14ac:dyDescent="0.35">
      <c r="A57" s="11"/>
      <c r="B57" s="5"/>
      <c r="C57" s="5"/>
      <c r="D57" s="5"/>
    </row>
    <row r="58" spans="1:4" ht="15" customHeight="1" x14ac:dyDescent="0.35">
      <c r="A58" s="11" t="s">
        <v>137</v>
      </c>
      <c r="B58" s="5"/>
      <c r="C58" s="6" t="s">
        <v>354</v>
      </c>
      <c r="D58" s="3" t="s">
        <v>58</v>
      </c>
    </row>
    <row r="59" spans="1:4" ht="15" customHeight="1" x14ac:dyDescent="0.35">
      <c r="A59" s="11" t="s">
        <v>138</v>
      </c>
      <c r="B59" s="5"/>
      <c r="C59" s="6" t="s">
        <v>357</v>
      </c>
      <c r="D59" s="4" t="s">
        <v>40</v>
      </c>
    </row>
    <row r="60" spans="1:4" ht="15" customHeight="1" x14ac:dyDescent="0.35">
      <c r="A60" s="11" t="s">
        <v>472</v>
      </c>
      <c r="B60" s="5"/>
      <c r="C60" s="6" t="s">
        <v>358</v>
      </c>
      <c r="D60" s="4" t="s">
        <v>35</v>
      </c>
    </row>
    <row r="61" spans="1:4" ht="15" customHeight="1" x14ac:dyDescent="0.35">
      <c r="A61" s="11" t="s">
        <v>473</v>
      </c>
      <c r="C61" s="6" t="s">
        <v>475</v>
      </c>
      <c r="D61" s="4" t="s">
        <v>42</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25" zoomScaleNormal="100" workbookViewId="0">
      <selection activeCell="D18" sqref="D1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LUCA ROMANELLI;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684</v>
      </c>
    </row>
    <row r="13" spans="1:4" ht="15" customHeight="1" x14ac:dyDescent="0.35">
      <c r="A13" s="11" t="s">
        <v>148</v>
      </c>
      <c r="B13" s="5"/>
      <c r="C13" s="6" t="s">
        <v>143</v>
      </c>
      <c r="D13" s="3" t="s">
        <v>685</v>
      </c>
    </row>
    <row r="14" spans="1:4" ht="15" customHeight="1" x14ac:dyDescent="0.35">
      <c r="A14" s="11" t="s">
        <v>149</v>
      </c>
      <c r="B14" s="5"/>
      <c r="C14" s="6" t="s">
        <v>144</v>
      </c>
      <c r="D14" s="3" t="s">
        <v>715</v>
      </c>
    </row>
    <row r="15" spans="1:4" ht="45" customHeight="1" x14ac:dyDescent="0.35">
      <c r="A15" s="16" t="s">
        <v>150</v>
      </c>
      <c r="B15" s="5"/>
      <c r="C15" s="18" t="s">
        <v>145</v>
      </c>
      <c r="D15" s="14" t="s">
        <v>716</v>
      </c>
    </row>
    <row r="16" spans="1:4" ht="15" customHeight="1" x14ac:dyDescent="0.35">
      <c r="A16" s="11" t="s">
        <v>151</v>
      </c>
      <c r="B16" s="5"/>
      <c r="C16" s="6" t="s">
        <v>146</v>
      </c>
      <c r="D16" s="3" t="s">
        <v>686</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row>
    <row r="38" spans="1:4" ht="15" customHeight="1" x14ac:dyDescent="0.35">
      <c r="A38" s="11" t="s">
        <v>168</v>
      </c>
      <c r="B38" s="5"/>
      <c r="C38" s="6" t="s">
        <v>166</v>
      </c>
      <c r="D38" s="4"/>
    </row>
    <row r="39" spans="1:4" ht="15" customHeight="1" x14ac:dyDescent="0.35">
      <c r="A39" s="11" t="s">
        <v>169</v>
      </c>
      <c r="B39" s="5"/>
      <c r="C39" s="6" t="s">
        <v>144</v>
      </c>
      <c r="D39" s="4"/>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t="s">
        <v>689</v>
      </c>
    </row>
    <row r="46" spans="1:4" ht="15" customHeight="1" x14ac:dyDescent="0.35">
      <c r="A46" s="11" t="s">
        <v>179</v>
      </c>
      <c r="B46" s="5"/>
      <c r="C46" s="6" t="s">
        <v>166</v>
      </c>
      <c r="D46" s="4" t="s">
        <v>687</v>
      </c>
    </row>
    <row r="47" spans="1:4" ht="15" customHeight="1" x14ac:dyDescent="0.35">
      <c r="A47" s="11" t="s">
        <v>180</v>
      </c>
      <c r="B47" s="5"/>
      <c r="C47" s="6" t="s">
        <v>144</v>
      </c>
      <c r="D47" s="4" t="s">
        <v>688</v>
      </c>
    </row>
    <row r="48" spans="1:4" ht="45" customHeight="1" x14ac:dyDescent="0.35">
      <c r="A48" s="16" t="s">
        <v>181</v>
      </c>
      <c r="B48" s="5"/>
      <c r="C48" s="18" t="s">
        <v>145</v>
      </c>
      <c r="D48" s="15"/>
    </row>
    <row r="49" spans="1:4" ht="15" customHeight="1" x14ac:dyDescent="0.35">
      <c r="A49" s="11" t="s">
        <v>182</v>
      </c>
      <c r="B49" s="5"/>
      <c r="C49" s="6" t="s">
        <v>146</v>
      </c>
      <c r="D49" s="4" t="s">
        <v>690</v>
      </c>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10" zoomScaleNormal="100" workbookViewId="0">
      <selection activeCell="D21" sqref="D21"/>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LUCA ROMANELLI;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42917</v>
      </c>
    </row>
    <row r="13" spans="1:4" ht="15" customHeight="1" x14ac:dyDescent="0.35">
      <c r="A13" s="11" t="s">
        <v>189</v>
      </c>
      <c r="B13" s="5"/>
      <c r="C13" s="6" t="s">
        <v>492</v>
      </c>
      <c r="D13" s="31" t="s">
        <v>691</v>
      </c>
    </row>
    <row r="14" spans="1:4" ht="15" customHeight="1" x14ac:dyDescent="0.35">
      <c r="A14" s="11" t="s">
        <v>190</v>
      </c>
      <c r="B14" s="5"/>
      <c r="C14" s="6" t="s">
        <v>377</v>
      </c>
      <c r="D14" s="3" t="s">
        <v>694</v>
      </c>
    </row>
    <row r="15" spans="1:4" ht="15" customHeight="1" x14ac:dyDescent="0.35">
      <c r="A15" s="11" t="s">
        <v>191</v>
      </c>
      <c r="B15" s="5"/>
      <c r="C15" s="6" t="s">
        <v>376</v>
      </c>
      <c r="D15" s="3" t="s">
        <v>692</v>
      </c>
    </row>
    <row r="16" spans="1:4" ht="15" customHeight="1" x14ac:dyDescent="0.35">
      <c r="A16" s="11" t="s">
        <v>192</v>
      </c>
      <c r="B16" s="5"/>
      <c r="C16" s="6" t="s">
        <v>558</v>
      </c>
      <c r="D16" s="3" t="s">
        <v>679</v>
      </c>
    </row>
    <row r="17" spans="1:4" ht="15" customHeight="1" x14ac:dyDescent="0.35">
      <c r="A17" s="11" t="s">
        <v>193</v>
      </c>
      <c r="B17" s="5"/>
      <c r="C17" s="6" t="s">
        <v>198</v>
      </c>
      <c r="D17" s="3" t="s">
        <v>199</v>
      </c>
    </row>
    <row r="18" spans="1:4" ht="15" customHeight="1" x14ac:dyDescent="0.35">
      <c r="A18" s="11" t="s">
        <v>194</v>
      </c>
      <c r="B18" s="5"/>
      <c r="C18" s="6" t="s">
        <v>186</v>
      </c>
      <c r="D18" s="3" t="s">
        <v>693</v>
      </c>
    </row>
    <row r="19" spans="1:4" ht="15" customHeight="1" x14ac:dyDescent="0.35">
      <c r="A19" s="11" t="s">
        <v>195</v>
      </c>
      <c r="B19" s="5"/>
      <c r="C19" s="6" t="s">
        <v>484</v>
      </c>
      <c r="D19" s="3" t="s">
        <v>486</v>
      </c>
    </row>
    <row r="20" spans="1:4" ht="15" customHeight="1" x14ac:dyDescent="0.35">
      <c r="A20" s="11" t="s">
        <v>196</v>
      </c>
      <c r="B20" s="5"/>
      <c r="C20" s="6" t="s">
        <v>488</v>
      </c>
      <c r="D20" s="3" t="s">
        <v>353</v>
      </c>
    </row>
    <row r="21" spans="1:4" s="28" customFormat="1" ht="75" customHeight="1" x14ac:dyDescent="0.35">
      <c r="A21" s="16" t="s">
        <v>211</v>
      </c>
      <c r="B21" s="17"/>
      <c r="C21" s="18" t="s">
        <v>197</v>
      </c>
      <c r="D21" s="14" t="s">
        <v>695</v>
      </c>
    </row>
    <row r="22" spans="1:4" s="28" customFormat="1" ht="45" customHeight="1" x14ac:dyDescent="0.35">
      <c r="A22" s="16" t="s">
        <v>212</v>
      </c>
      <c r="B22" s="17"/>
      <c r="C22" s="18" t="s">
        <v>187</v>
      </c>
      <c r="D22" s="14" t="s">
        <v>717</v>
      </c>
    </row>
    <row r="24" spans="1:4" ht="15" customHeight="1" x14ac:dyDescent="0.35">
      <c r="A24" s="11" t="s">
        <v>213</v>
      </c>
      <c r="B24" s="5"/>
      <c r="C24" s="6" t="s">
        <v>491</v>
      </c>
      <c r="D24" s="30">
        <v>41064</v>
      </c>
    </row>
    <row r="25" spans="1:4" ht="15" customHeight="1" x14ac:dyDescent="0.35">
      <c r="A25" s="11" t="s">
        <v>214</v>
      </c>
      <c r="B25" s="5"/>
      <c r="C25" s="6" t="s">
        <v>492</v>
      </c>
      <c r="D25" s="30">
        <v>42916</v>
      </c>
    </row>
    <row r="26" spans="1:4" ht="15" customHeight="1" x14ac:dyDescent="0.35">
      <c r="A26" s="11" t="s">
        <v>215</v>
      </c>
      <c r="B26" s="5"/>
      <c r="C26" s="6" t="s">
        <v>378</v>
      </c>
      <c r="D26" s="4" t="s">
        <v>696</v>
      </c>
    </row>
    <row r="27" spans="1:4" ht="15" customHeight="1" x14ac:dyDescent="0.35">
      <c r="A27" s="11" t="s">
        <v>216</v>
      </c>
      <c r="B27" s="5"/>
      <c r="C27" s="6" t="s">
        <v>376</v>
      </c>
      <c r="D27" s="4" t="s">
        <v>697</v>
      </c>
    </row>
    <row r="28" spans="1:4" ht="15" customHeight="1" x14ac:dyDescent="0.35">
      <c r="A28" s="11" t="s">
        <v>217</v>
      </c>
      <c r="B28" s="5"/>
      <c r="C28" s="6" t="s">
        <v>558</v>
      </c>
      <c r="D28" s="4" t="s">
        <v>681</v>
      </c>
    </row>
    <row r="29" spans="1:4" ht="15" customHeight="1" x14ac:dyDescent="0.35">
      <c r="A29" s="11" t="s">
        <v>218</v>
      </c>
      <c r="B29" s="5"/>
      <c r="C29" s="6" t="s">
        <v>198</v>
      </c>
      <c r="D29" s="4" t="s">
        <v>206</v>
      </c>
    </row>
    <row r="30" spans="1:4" ht="15" customHeight="1" x14ac:dyDescent="0.35">
      <c r="A30" s="11" t="s">
        <v>219</v>
      </c>
      <c r="B30" s="5"/>
      <c r="C30" s="6" t="s">
        <v>186</v>
      </c>
      <c r="D30" s="4" t="s">
        <v>698</v>
      </c>
    </row>
    <row r="31" spans="1:4" ht="15" customHeight="1" x14ac:dyDescent="0.35">
      <c r="A31" s="11" t="s">
        <v>220</v>
      </c>
      <c r="B31" s="5"/>
      <c r="C31" s="6" t="s">
        <v>484</v>
      </c>
      <c r="D31" s="4" t="s">
        <v>486</v>
      </c>
    </row>
    <row r="32" spans="1:4" ht="15" customHeight="1" x14ac:dyDescent="0.35">
      <c r="A32" s="11" t="s">
        <v>221</v>
      </c>
      <c r="B32" s="5"/>
      <c r="C32" s="6" t="s">
        <v>488</v>
      </c>
      <c r="D32" s="4" t="s">
        <v>353</v>
      </c>
    </row>
    <row r="33" spans="1:4" s="28" customFormat="1" ht="75" customHeight="1" x14ac:dyDescent="0.35">
      <c r="A33" s="16" t="s">
        <v>222</v>
      </c>
      <c r="B33" s="17"/>
      <c r="C33" s="18" t="s">
        <v>197</v>
      </c>
      <c r="D33" s="15" t="s">
        <v>718</v>
      </c>
    </row>
    <row r="34" spans="1:4" s="28" customFormat="1" ht="45" customHeight="1" x14ac:dyDescent="0.35">
      <c r="A34" s="16" t="s">
        <v>223</v>
      </c>
      <c r="B34" s="17"/>
      <c r="C34" s="18" t="s">
        <v>187</v>
      </c>
      <c r="D34" s="15" t="s">
        <v>719</v>
      </c>
    </row>
    <row r="36" spans="1:4" ht="15" customHeight="1" x14ac:dyDescent="0.35">
      <c r="A36" s="11" t="s">
        <v>224</v>
      </c>
      <c r="B36" s="5"/>
      <c r="C36" s="6" t="s">
        <v>491</v>
      </c>
      <c r="D36" s="32" t="s">
        <v>699</v>
      </c>
    </row>
    <row r="37" spans="1:4" ht="15" customHeight="1" x14ac:dyDescent="0.35">
      <c r="A37" s="11" t="s">
        <v>225</v>
      </c>
      <c r="B37" s="5"/>
      <c r="C37" s="6" t="s">
        <v>492</v>
      </c>
      <c r="D37" s="32" t="s">
        <v>700</v>
      </c>
    </row>
    <row r="38" spans="1:4" ht="15" customHeight="1" x14ac:dyDescent="0.35">
      <c r="A38" s="11" t="s">
        <v>226</v>
      </c>
      <c r="B38" s="5"/>
      <c r="C38" s="6" t="s">
        <v>379</v>
      </c>
      <c r="D38" s="4" t="s">
        <v>702</v>
      </c>
    </row>
    <row r="39" spans="1:4" ht="15" customHeight="1" x14ac:dyDescent="0.35">
      <c r="A39" s="11" t="s">
        <v>227</v>
      </c>
      <c r="B39" s="5"/>
      <c r="C39" s="6" t="s">
        <v>376</v>
      </c>
      <c r="D39" s="4" t="s">
        <v>701</v>
      </c>
    </row>
    <row r="40" spans="1:4" ht="15" customHeight="1" x14ac:dyDescent="0.35">
      <c r="A40" s="11" t="s">
        <v>228</v>
      </c>
      <c r="B40" s="5"/>
      <c r="C40" s="6" t="s">
        <v>558</v>
      </c>
      <c r="D40" s="4" t="s">
        <v>679</v>
      </c>
    </row>
    <row r="41" spans="1:4" ht="15" customHeight="1" x14ac:dyDescent="0.35">
      <c r="A41" s="11" t="s">
        <v>229</v>
      </c>
      <c r="B41" s="5"/>
      <c r="C41" s="6" t="s">
        <v>198</v>
      </c>
      <c r="D41" s="4" t="s">
        <v>200</v>
      </c>
    </row>
    <row r="42" spans="1:4" ht="15" customHeight="1" x14ac:dyDescent="0.35">
      <c r="A42" s="11" t="s">
        <v>230</v>
      </c>
      <c r="B42" s="5"/>
      <c r="C42" s="6" t="s">
        <v>186</v>
      </c>
      <c r="D42" s="4" t="s">
        <v>703</v>
      </c>
    </row>
    <row r="43" spans="1:4" ht="15" customHeight="1" x14ac:dyDescent="0.35">
      <c r="A43" s="11" t="s">
        <v>231</v>
      </c>
      <c r="B43" s="5"/>
      <c r="C43" s="6" t="s">
        <v>484</v>
      </c>
      <c r="D43" s="4" t="s">
        <v>486</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708</v>
      </c>
    </row>
    <row r="46" spans="1:4" s="28" customFormat="1" ht="45" customHeight="1" x14ac:dyDescent="0.35">
      <c r="A46" s="16" t="s">
        <v>234</v>
      </c>
      <c r="B46" s="17"/>
      <c r="C46" s="18" t="s">
        <v>187</v>
      </c>
      <c r="D46" s="15" t="s">
        <v>709</v>
      </c>
    </row>
    <row r="48" spans="1:4" ht="15" customHeight="1" x14ac:dyDescent="0.35">
      <c r="A48" s="11" t="s">
        <v>235</v>
      </c>
      <c r="B48" s="5"/>
      <c r="C48" s="6" t="s">
        <v>491</v>
      </c>
      <c r="D48" s="32" t="s">
        <v>705</v>
      </c>
    </row>
    <row r="49" spans="1:4" ht="15" customHeight="1" x14ac:dyDescent="0.35">
      <c r="A49" s="11" t="s">
        <v>236</v>
      </c>
      <c r="B49" s="5"/>
      <c r="C49" s="6" t="s">
        <v>492</v>
      </c>
      <c r="D49" s="32" t="s">
        <v>706</v>
      </c>
    </row>
    <row r="50" spans="1:4" ht="15" customHeight="1" x14ac:dyDescent="0.35">
      <c r="A50" s="11" t="s">
        <v>237</v>
      </c>
      <c r="B50" s="5"/>
      <c r="C50" s="6" t="s">
        <v>380</v>
      </c>
      <c r="D50" s="4" t="s">
        <v>704</v>
      </c>
    </row>
    <row r="51" spans="1:4" ht="15" customHeight="1" x14ac:dyDescent="0.35">
      <c r="A51" s="11" t="s">
        <v>238</v>
      </c>
      <c r="B51" s="5"/>
      <c r="C51" s="6" t="s">
        <v>376</v>
      </c>
      <c r="D51" s="4" t="s">
        <v>701</v>
      </c>
    </row>
    <row r="52" spans="1:4" ht="15" customHeight="1" x14ac:dyDescent="0.35">
      <c r="A52" s="11" t="s">
        <v>239</v>
      </c>
      <c r="B52" s="5"/>
      <c r="C52" s="6" t="s">
        <v>558</v>
      </c>
      <c r="D52" s="4" t="s">
        <v>679</v>
      </c>
    </row>
    <row r="53" spans="1:4" ht="15" customHeight="1" x14ac:dyDescent="0.35">
      <c r="A53" s="11" t="s">
        <v>240</v>
      </c>
      <c r="B53" s="5"/>
      <c r="C53" s="6" t="s">
        <v>198</v>
      </c>
      <c r="D53" s="4" t="s">
        <v>203</v>
      </c>
    </row>
    <row r="54" spans="1:4" ht="15" customHeight="1" x14ac:dyDescent="0.35">
      <c r="A54" s="11" t="s">
        <v>241</v>
      </c>
      <c r="B54" s="5"/>
      <c r="C54" s="6" t="s">
        <v>186</v>
      </c>
      <c r="D54" s="4" t="s">
        <v>707</v>
      </c>
    </row>
    <row r="55" spans="1:4" ht="15" customHeight="1" x14ac:dyDescent="0.35">
      <c r="A55" s="11" t="s">
        <v>242</v>
      </c>
      <c r="B55" s="5"/>
      <c r="C55" s="6" t="s">
        <v>484</v>
      </c>
      <c r="D55" s="4" t="s">
        <v>486</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728</v>
      </c>
    </row>
    <row r="58" spans="1:4" s="28" customFormat="1" ht="45" customHeight="1" x14ac:dyDescent="0.35">
      <c r="A58" s="16" t="s">
        <v>245</v>
      </c>
      <c r="B58" s="17"/>
      <c r="C58" s="18" t="s">
        <v>187</v>
      </c>
      <c r="D58" s="15" t="s">
        <v>720</v>
      </c>
    </row>
    <row r="60" spans="1:4" ht="15" customHeight="1" x14ac:dyDescent="0.35">
      <c r="A60" s="11" t="s">
        <v>246</v>
      </c>
      <c r="B60" s="5"/>
      <c r="C60" s="6" t="s">
        <v>491</v>
      </c>
      <c r="D60" s="32" t="s">
        <v>711</v>
      </c>
    </row>
    <row r="61" spans="1:4" ht="15" customHeight="1" x14ac:dyDescent="0.35">
      <c r="A61" s="11" t="s">
        <v>247</v>
      </c>
      <c r="B61" s="5"/>
      <c r="C61" s="6" t="s">
        <v>492</v>
      </c>
      <c r="D61" s="32" t="s">
        <v>712</v>
      </c>
    </row>
    <row r="62" spans="1:4" ht="15" customHeight="1" x14ac:dyDescent="0.35">
      <c r="A62" s="11" t="s">
        <v>248</v>
      </c>
      <c r="B62" s="5"/>
      <c r="C62" s="6" t="s">
        <v>381</v>
      </c>
      <c r="D62" s="4" t="s">
        <v>714</v>
      </c>
    </row>
    <row r="63" spans="1:4" ht="15" customHeight="1" x14ac:dyDescent="0.35">
      <c r="A63" s="11" t="s">
        <v>249</v>
      </c>
      <c r="B63" s="5"/>
      <c r="C63" s="6" t="s">
        <v>376</v>
      </c>
      <c r="D63" s="4" t="s">
        <v>680</v>
      </c>
    </row>
    <row r="64" spans="1:4" ht="15" customHeight="1" x14ac:dyDescent="0.35">
      <c r="A64" s="11" t="s">
        <v>250</v>
      </c>
      <c r="B64" s="5"/>
      <c r="C64" s="6" t="s">
        <v>558</v>
      </c>
      <c r="D64" s="4" t="s">
        <v>681</v>
      </c>
    </row>
    <row r="65" spans="1:4" ht="15" customHeight="1" x14ac:dyDescent="0.35">
      <c r="A65" s="11" t="s">
        <v>251</v>
      </c>
      <c r="B65" s="5"/>
      <c r="C65" s="6" t="s">
        <v>198</v>
      </c>
      <c r="D65" s="4" t="s">
        <v>206</v>
      </c>
    </row>
    <row r="66" spans="1:4" ht="15" customHeight="1" x14ac:dyDescent="0.35">
      <c r="A66" s="11" t="s">
        <v>252</v>
      </c>
      <c r="B66" s="5"/>
      <c r="C66" s="6" t="s">
        <v>186</v>
      </c>
      <c r="D66" s="4" t="s">
        <v>710</v>
      </c>
    </row>
    <row r="67" spans="1:4" ht="15" customHeight="1" x14ac:dyDescent="0.35">
      <c r="A67" s="11" t="s">
        <v>253</v>
      </c>
      <c r="B67" s="5"/>
      <c r="C67" s="6" t="s">
        <v>484</v>
      </c>
      <c r="D67" s="4" t="s">
        <v>486</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713</v>
      </c>
    </row>
    <row r="70" spans="1:4" s="28" customFormat="1" ht="45" customHeight="1" x14ac:dyDescent="0.35">
      <c r="A70" s="16" t="s">
        <v>256</v>
      </c>
      <c r="B70" s="17"/>
      <c r="C70" s="18" t="s">
        <v>187</v>
      </c>
      <c r="D70" s="15" t="s">
        <v>727</v>
      </c>
    </row>
    <row r="72" spans="1:4" ht="15" customHeight="1" x14ac:dyDescent="0.35">
      <c r="A72" s="11" t="s">
        <v>257</v>
      </c>
      <c r="B72" s="5"/>
      <c r="C72" s="6" t="s">
        <v>491</v>
      </c>
      <c r="D72" s="32" t="s">
        <v>658</v>
      </c>
    </row>
    <row r="73" spans="1:4" ht="15" customHeight="1" x14ac:dyDescent="0.35">
      <c r="A73" s="11" t="s">
        <v>258</v>
      </c>
      <c r="B73" s="5"/>
      <c r="C73" s="6" t="s">
        <v>492</v>
      </c>
      <c r="D73" s="32" t="s">
        <v>658</v>
      </c>
    </row>
    <row r="74" spans="1:4" ht="15" customHeight="1" x14ac:dyDescent="0.35">
      <c r="A74" s="11" t="s">
        <v>259</v>
      </c>
      <c r="B74" s="5"/>
      <c r="C74" s="6" t="s">
        <v>382</v>
      </c>
      <c r="D74" s="4"/>
    </row>
    <row r="75" spans="1:4" ht="15" customHeight="1" x14ac:dyDescent="0.35">
      <c r="A75" s="11" t="s">
        <v>260</v>
      </c>
      <c r="B75" s="5"/>
      <c r="C75" s="6" t="s">
        <v>376</v>
      </c>
      <c r="D75" s="4"/>
    </row>
    <row r="76" spans="1:4" ht="15" customHeight="1" x14ac:dyDescent="0.35">
      <c r="A76" s="11" t="s">
        <v>261</v>
      </c>
      <c r="B76" s="5"/>
      <c r="C76" s="6" t="s">
        <v>558</v>
      </c>
      <c r="D76" s="4"/>
    </row>
    <row r="77" spans="1:4" ht="15" customHeight="1" x14ac:dyDescent="0.35">
      <c r="A77" s="11" t="s">
        <v>262</v>
      </c>
      <c r="B77" s="5"/>
      <c r="C77" s="6" t="s">
        <v>198</v>
      </c>
      <c r="D77" s="4"/>
    </row>
    <row r="78" spans="1:4" ht="15" customHeight="1" x14ac:dyDescent="0.35">
      <c r="A78" s="11" t="s">
        <v>263</v>
      </c>
      <c r="B78" s="5"/>
      <c r="C78" s="6" t="s">
        <v>186</v>
      </c>
      <c r="D78" s="4"/>
    </row>
    <row r="79" spans="1:4" ht="15" customHeight="1" x14ac:dyDescent="0.35">
      <c r="A79" s="11" t="s">
        <v>264</v>
      </c>
      <c r="B79" s="5"/>
      <c r="C79" s="6" t="s">
        <v>484</v>
      </c>
      <c r="D79" s="4"/>
    </row>
    <row r="80" spans="1:4" ht="15" customHeight="1" x14ac:dyDescent="0.35">
      <c r="A80" s="11" t="s">
        <v>265</v>
      </c>
      <c r="B80" s="5"/>
      <c r="C80" s="6" t="s">
        <v>488</v>
      </c>
      <c r="D80" s="4"/>
    </row>
    <row r="81" spans="1:4" s="28" customFormat="1" ht="75" customHeight="1" x14ac:dyDescent="0.35">
      <c r="A81" s="16" t="s">
        <v>266</v>
      </c>
      <c r="B81" s="17"/>
      <c r="C81" s="18" t="s">
        <v>197</v>
      </c>
      <c r="D81" s="15"/>
    </row>
    <row r="82" spans="1:4" s="28" customFormat="1" ht="45" customHeight="1" x14ac:dyDescent="0.35">
      <c r="A82" s="16" t="s">
        <v>267</v>
      </c>
      <c r="B82" s="17"/>
      <c r="C82" s="18" t="s">
        <v>187</v>
      </c>
      <c r="D82" s="15"/>
    </row>
    <row r="84" spans="1:4" ht="15" customHeight="1" x14ac:dyDescent="0.35">
      <c r="A84" s="11" t="s">
        <v>268</v>
      </c>
      <c r="B84" s="5"/>
      <c r="C84" s="6" t="s">
        <v>491</v>
      </c>
      <c r="D84" s="32" t="s">
        <v>658</v>
      </c>
    </row>
    <row r="85" spans="1:4" ht="15" customHeight="1" x14ac:dyDescent="0.35">
      <c r="A85" s="11" t="s">
        <v>269</v>
      </c>
      <c r="B85" s="5"/>
      <c r="C85" s="6" t="s">
        <v>492</v>
      </c>
      <c r="D85" s="32" t="s">
        <v>658</v>
      </c>
    </row>
    <row r="86" spans="1:4" ht="15" customHeight="1" x14ac:dyDescent="0.35">
      <c r="A86" s="11" t="s">
        <v>270</v>
      </c>
      <c r="B86" s="5"/>
      <c r="C86" s="6" t="s">
        <v>383</v>
      </c>
      <c r="D86" s="4"/>
    </row>
    <row r="87" spans="1:4" ht="15" customHeight="1" x14ac:dyDescent="0.35">
      <c r="A87" s="11" t="s">
        <v>271</v>
      </c>
      <c r="B87" s="5"/>
      <c r="C87" s="6" t="s">
        <v>376</v>
      </c>
      <c r="D87" s="4"/>
    </row>
    <row r="88" spans="1:4" ht="15" customHeight="1" x14ac:dyDescent="0.35">
      <c r="A88" s="11" t="s">
        <v>272</v>
      </c>
      <c r="B88" s="5"/>
      <c r="C88" s="6" t="s">
        <v>558</v>
      </c>
      <c r="D88" s="4"/>
    </row>
    <row r="89" spans="1:4" ht="15" customHeight="1" x14ac:dyDescent="0.35">
      <c r="A89" s="11" t="s">
        <v>273</v>
      </c>
      <c r="B89" s="5"/>
      <c r="C89" s="6" t="s">
        <v>198</v>
      </c>
      <c r="D89" s="4"/>
    </row>
    <row r="90" spans="1:4" ht="15" customHeight="1" x14ac:dyDescent="0.35">
      <c r="A90" s="11" t="s">
        <v>274</v>
      </c>
      <c r="B90" s="5"/>
      <c r="C90" s="6" t="s">
        <v>186</v>
      </c>
      <c r="D90" s="4"/>
    </row>
    <row r="91" spans="1:4" ht="15" customHeight="1" x14ac:dyDescent="0.35">
      <c r="A91" s="11" t="s">
        <v>275</v>
      </c>
      <c r="B91" s="5"/>
      <c r="C91" s="6" t="s">
        <v>484</v>
      </c>
      <c r="D91" s="4"/>
    </row>
    <row r="92" spans="1:4" ht="15" customHeight="1" x14ac:dyDescent="0.35">
      <c r="A92" s="11" t="s">
        <v>276</v>
      </c>
      <c r="B92" s="5"/>
      <c r="C92" s="6" t="s">
        <v>488</v>
      </c>
      <c r="D92" s="4"/>
    </row>
    <row r="93" spans="1:4" s="28" customFormat="1" ht="75" customHeight="1" x14ac:dyDescent="0.35">
      <c r="A93" s="16" t="s">
        <v>277</v>
      </c>
      <c r="B93" s="17"/>
      <c r="C93" s="18" t="s">
        <v>197</v>
      </c>
      <c r="D93" s="15"/>
    </row>
    <row r="94" spans="1:4" s="28" customFormat="1" ht="45" customHeight="1" x14ac:dyDescent="0.35">
      <c r="A94" s="16" t="s">
        <v>278</v>
      </c>
      <c r="B94" s="17"/>
      <c r="C94" s="18" t="s">
        <v>187</v>
      </c>
      <c r="D94" s="15"/>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zoomScaleNormal="100" workbookViewId="0">
      <selection activeCell="D19" sqref="D19"/>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LUCA ROMANELLI;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721</v>
      </c>
    </row>
    <row r="13" spans="1:4" ht="15" customHeight="1" x14ac:dyDescent="0.35">
      <c r="A13" s="11" t="s">
        <v>403</v>
      </c>
      <c r="B13" s="5"/>
      <c r="C13" s="6" t="s">
        <v>388</v>
      </c>
      <c r="D13" s="4" t="s">
        <v>393</v>
      </c>
    </row>
    <row r="14" spans="1:4" ht="15" customHeight="1" x14ac:dyDescent="0.35">
      <c r="A14" s="11" t="s">
        <v>404</v>
      </c>
      <c r="B14" s="5"/>
      <c r="C14" s="6" t="s">
        <v>389</v>
      </c>
      <c r="D14" s="4" t="s">
        <v>676</v>
      </c>
    </row>
    <row r="15" spans="1:4" ht="60" customHeight="1" x14ac:dyDescent="0.35">
      <c r="A15" s="16" t="s">
        <v>405</v>
      </c>
      <c r="B15" s="17"/>
      <c r="C15" s="18" t="s">
        <v>672</v>
      </c>
      <c r="D15" s="15" t="s">
        <v>722</v>
      </c>
    </row>
    <row r="16" spans="1:4" ht="60" customHeight="1" x14ac:dyDescent="0.35">
      <c r="A16" s="16" t="s">
        <v>406</v>
      </c>
      <c r="B16" s="17"/>
      <c r="C16" s="18" t="s">
        <v>673</v>
      </c>
      <c r="D16" s="15" t="s">
        <v>723</v>
      </c>
    </row>
    <row r="17" spans="1:4" ht="15" customHeight="1" x14ac:dyDescent="0.35">
      <c r="A17" s="11" t="s">
        <v>407</v>
      </c>
      <c r="B17" s="5"/>
      <c r="C17" s="6" t="s">
        <v>348</v>
      </c>
      <c r="D17" s="4" t="s">
        <v>724</v>
      </c>
    </row>
    <row r="18" spans="1:4" ht="15" customHeight="1" x14ac:dyDescent="0.35">
      <c r="A18" s="11" t="s">
        <v>408</v>
      </c>
      <c r="B18" s="5"/>
      <c r="C18" s="6" t="s">
        <v>390</v>
      </c>
      <c r="D18" s="4" t="s">
        <v>397</v>
      </c>
    </row>
    <row r="19" spans="1:4" ht="15" customHeight="1" x14ac:dyDescent="0.35">
      <c r="A19" s="11" t="s">
        <v>409</v>
      </c>
      <c r="B19" s="5"/>
      <c r="C19" s="6" t="s">
        <v>391</v>
      </c>
      <c r="D19" s="4" t="s">
        <v>310</v>
      </c>
    </row>
    <row r="20" spans="1:4" ht="15" customHeight="1" x14ac:dyDescent="0.35">
      <c r="A20" s="11"/>
      <c r="B20" s="5"/>
      <c r="C20" s="5"/>
      <c r="D20" s="5"/>
    </row>
    <row r="21" spans="1:4" ht="15" customHeight="1" x14ac:dyDescent="0.35">
      <c r="A21" s="11" t="s">
        <v>410</v>
      </c>
      <c r="B21" s="5"/>
      <c r="C21" s="6" t="s">
        <v>387</v>
      </c>
      <c r="D21" s="4"/>
    </row>
    <row r="22" spans="1:4" ht="15" customHeight="1" x14ac:dyDescent="0.35">
      <c r="A22" s="11" t="s">
        <v>411</v>
      </c>
      <c r="B22" s="5"/>
      <c r="C22" s="6" t="s">
        <v>388</v>
      </c>
      <c r="D22" s="4"/>
    </row>
    <row r="23" spans="1:4" ht="15" customHeight="1" x14ac:dyDescent="0.35">
      <c r="A23" s="11" t="s">
        <v>412</v>
      </c>
      <c r="B23" s="5"/>
      <c r="C23" s="6" t="s">
        <v>389</v>
      </c>
      <c r="D23" s="4"/>
    </row>
    <row r="24" spans="1:4" ht="60" customHeight="1" x14ac:dyDescent="0.35">
      <c r="A24" s="16" t="s">
        <v>413</v>
      </c>
      <c r="B24" s="17"/>
      <c r="C24" s="18" t="s">
        <v>674</v>
      </c>
      <c r="D24" s="15"/>
    </row>
    <row r="25" spans="1:4" ht="60" customHeight="1" x14ac:dyDescent="0.35">
      <c r="A25" s="16" t="s">
        <v>414</v>
      </c>
      <c r="B25" s="17"/>
      <c r="C25" s="18" t="s">
        <v>673</v>
      </c>
      <c r="D25" s="15"/>
    </row>
    <row r="26" spans="1:4" ht="15" customHeight="1" x14ac:dyDescent="0.35">
      <c r="A26" s="11" t="s">
        <v>415</v>
      </c>
      <c r="B26" s="5"/>
      <c r="C26" s="6" t="s">
        <v>348</v>
      </c>
      <c r="D26" s="4"/>
    </row>
    <row r="27" spans="1:4" ht="15" customHeight="1" x14ac:dyDescent="0.35">
      <c r="A27" s="11" t="s">
        <v>416</v>
      </c>
      <c r="B27" s="5"/>
      <c r="C27" s="6" t="s">
        <v>390</v>
      </c>
      <c r="D27" s="4"/>
    </row>
    <row r="28" spans="1:4" ht="15" customHeight="1" x14ac:dyDescent="0.35">
      <c r="A28" s="11" t="s">
        <v>417</v>
      </c>
      <c r="B28" s="5"/>
      <c r="C28" s="6" t="s">
        <v>391</v>
      </c>
      <c r="D28" s="4"/>
    </row>
    <row r="29" spans="1:4" ht="15" customHeight="1" x14ac:dyDescent="0.35">
      <c r="A29" s="11"/>
      <c r="B29" s="5"/>
      <c r="C29" s="5"/>
      <c r="D29" s="5"/>
    </row>
    <row r="30" spans="1:4" ht="15" customHeight="1" x14ac:dyDescent="0.35">
      <c r="A30" s="11" t="s">
        <v>418</v>
      </c>
      <c r="B30" s="5"/>
      <c r="C30" s="6" t="s">
        <v>387</v>
      </c>
      <c r="D30" s="4"/>
    </row>
    <row r="31" spans="1:4" ht="15" customHeight="1" x14ac:dyDescent="0.35">
      <c r="A31" s="11" t="s">
        <v>419</v>
      </c>
      <c r="B31" s="5"/>
      <c r="C31" s="6" t="s">
        <v>388</v>
      </c>
      <c r="D31" s="4"/>
    </row>
    <row r="32" spans="1:4" ht="15" customHeight="1" x14ac:dyDescent="0.35">
      <c r="A32" s="11" t="s">
        <v>420</v>
      </c>
      <c r="B32" s="5"/>
      <c r="C32" s="6" t="s">
        <v>389</v>
      </c>
      <c r="D32" s="4"/>
    </row>
    <row r="33" spans="1:4" ht="60" customHeight="1" x14ac:dyDescent="0.35">
      <c r="A33" s="16" t="s">
        <v>421</v>
      </c>
      <c r="B33" s="17"/>
      <c r="C33" s="18" t="s">
        <v>675</v>
      </c>
      <c r="D33" s="15"/>
    </row>
    <row r="34" spans="1:4" ht="60" customHeight="1" x14ac:dyDescent="0.35">
      <c r="A34" s="16" t="s">
        <v>422</v>
      </c>
      <c r="B34" s="17"/>
      <c r="C34" s="18" t="s">
        <v>673</v>
      </c>
      <c r="D34" s="15"/>
    </row>
    <row r="35" spans="1:4" ht="15" customHeight="1" x14ac:dyDescent="0.35">
      <c r="A35" s="11" t="s">
        <v>423</v>
      </c>
      <c r="B35" s="5"/>
      <c r="C35" s="6" t="s">
        <v>348</v>
      </c>
      <c r="D35" s="4"/>
    </row>
    <row r="36" spans="1:4" ht="15" customHeight="1" x14ac:dyDescent="0.35">
      <c r="A36" s="11" t="s">
        <v>424</v>
      </c>
      <c r="B36" s="5"/>
      <c r="C36" s="6" t="s">
        <v>390</v>
      </c>
      <c r="D36" s="4"/>
    </row>
    <row r="37" spans="1:4" ht="15" customHeight="1" x14ac:dyDescent="0.35">
      <c r="A37" s="11"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zoomScaleNormal="100" workbookViewId="0">
      <selection activeCell="I35" sqref="I3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LUCA ROMANELLI;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INDUSTRIA_DELLA_SALUTE</v>
      </c>
    </row>
    <row r="12" spans="1:4" ht="15" customHeight="1" x14ac:dyDescent="0.35">
      <c r="A12" s="11" t="s">
        <v>433</v>
      </c>
      <c r="B12" s="5"/>
      <c r="C12" s="6" t="s">
        <v>355</v>
      </c>
      <c r="D12" s="12" t="str">
        <f>ads1_principale</f>
        <v>IS6 Nuovi approcci terapeutici</v>
      </c>
    </row>
    <row r="13" spans="1:4" ht="15" customHeight="1" x14ac:dyDescent="0.35">
      <c r="A13" s="11" t="s">
        <v>434</v>
      </c>
      <c r="B13" s="5"/>
      <c r="C13" s="6" t="s">
        <v>356</v>
      </c>
      <c r="D13" s="12" t="str">
        <f>ads1_secondaria</f>
        <v>IS4 Disabilità e riabilitazione</v>
      </c>
    </row>
    <row r="14" spans="1:4" ht="15" customHeight="1" x14ac:dyDescent="0.35">
      <c r="A14" s="11" t="s">
        <v>435</v>
      </c>
      <c r="B14" s="5"/>
      <c r="C14" s="6" t="s">
        <v>474</v>
      </c>
      <c r="D14" s="12" t="str">
        <f>ads1_terziaria</f>
        <v>IS3 Invecchiamento attivo</v>
      </c>
    </row>
    <row r="15" spans="1:4" ht="15" customHeight="1" x14ac:dyDescent="0.35">
      <c r="A15" s="11"/>
      <c r="B15" s="5"/>
      <c r="C15" s="5"/>
      <c r="D15" s="5"/>
    </row>
    <row r="16" spans="1:4" ht="15" customHeight="1" x14ac:dyDescent="0.35">
      <c r="A16" s="11" t="s">
        <v>436</v>
      </c>
      <c r="B16" s="5"/>
      <c r="C16" s="6" t="s">
        <v>363</v>
      </c>
      <c r="D16" s="12" t="str">
        <f>l1_tema</f>
        <v>INGEGNERIA MECCANICA</v>
      </c>
    </row>
    <row r="17" spans="1:4" ht="15" customHeight="1" x14ac:dyDescent="0.35">
      <c r="A17" s="11" t="s">
        <v>437</v>
      </c>
      <c r="B17" s="5"/>
      <c r="C17" s="6" t="s">
        <v>364</v>
      </c>
      <c r="D17" s="12">
        <f>l2_tema</f>
        <v>0</v>
      </c>
    </row>
    <row r="18" spans="1:4" ht="15" customHeight="1" x14ac:dyDescent="0.35">
      <c r="A18" s="11" t="s">
        <v>438</v>
      </c>
      <c r="B18" s="5"/>
      <c r="C18" s="6" t="s">
        <v>365</v>
      </c>
      <c r="D18" s="12">
        <f>dot_tema</f>
        <v>0</v>
      </c>
    </row>
    <row r="19" spans="1:4" ht="15" customHeight="1" x14ac:dyDescent="0.35">
      <c r="A19" s="11" t="s">
        <v>439</v>
      </c>
      <c r="B19" s="5"/>
      <c r="C19" s="6" t="s">
        <v>366</v>
      </c>
      <c r="D19" s="12" t="str">
        <f>m2l_tema</f>
        <v>MBA - MASTER IN DIREZIONE D'IMPRESA (ACCREDITATO ASFOR)</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729</v>
      </c>
    </row>
    <row r="23" spans="1:4" ht="15" customHeight="1" x14ac:dyDescent="0.35">
      <c r="A23" s="11"/>
      <c r="B23" s="5"/>
      <c r="C23" s="5"/>
      <c r="D23" s="5"/>
    </row>
    <row r="24" spans="1:4" ht="15" customHeight="1" x14ac:dyDescent="0.35">
      <c r="A24" s="11" t="s">
        <v>441</v>
      </c>
      <c r="B24" s="5"/>
      <c r="C24" s="6" t="s">
        <v>367</v>
      </c>
      <c r="D24" s="12" t="str">
        <f>ep1_denominazione</f>
        <v>RIATLAS SRL (START UP INNOVATIVA E SPIN OFF UNIVERSITA' DEGLI STUDI DI SALERNO)</v>
      </c>
    </row>
    <row r="25" spans="1:4" ht="15" customHeight="1" x14ac:dyDescent="0.35">
      <c r="A25" s="11" t="s">
        <v>442</v>
      </c>
      <c r="B25" s="5"/>
      <c r="C25" s="6" t="s">
        <v>368</v>
      </c>
      <c r="D25" s="12" t="str">
        <f>ep2_denominazione</f>
        <v>AB MEDICA</v>
      </c>
    </row>
    <row r="26" spans="1:4" ht="15" customHeight="1" x14ac:dyDescent="0.35">
      <c r="A26" s="11" t="s">
        <v>443</v>
      </c>
      <c r="B26" s="5"/>
      <c r="C26" s="6" t="s">
        <v>369</v>
      </c>
      <c r="D26" s="12" t="str">
        <f>ep3_denominazione</f>
        <v>MOMA SPA (SPIN OFF UNIVERSITA' DEGLI STUDI DI SALERNO)</v>
      </c>
    </row>
    <row r="27" spans="1:4" ht="15" customHeight="1" x14ac:dyDescent="0.35">
      <c r="A27" s="11" t="s">
        <v>444</v>
      </c>
      <c r="B27" s="5"/>
      <c r="C27" s="6" t="s">
        <v>370</v>
      </c>
      <c r="D27" s="12" t="str">
        <f>ep4_denominazione</f>
        <v>CRMPA – CENTRO DI RICERCA DI MATEMATICA PURA E APPLICATA dell’Università degli Studi di Salerno</v>
      </c>
    </row>
    <row r="28" spans="1:4" ht="15" customHeight="1" x14ac:dyDescent="0.35">
      <c r="A28" s="11" t="s">
        <v>445</v>
      </c>
      <c r="B28" s="5"/>
      <c r="C28" s="6" t="s">
        <v>371</v>
      </c>
      <c r="D28" s="12" t="str">
        <f>ep5_denominazione</f>
        <v>KPMG Management Consulting</v>
      </c>
    </row>
    <row r="29" spans="1:4" ht="15" customHeight="1" x14ac:dyDescent="0.35">
      <c r="A29" s="11" t="s">
        <v>446</v>
      </c>
      <c r="B29" s="5"/>
      <c r="C29" s="6" t="s">
        <v>372</v>
      </c>
      <c r="D29" s="12">
        <f>ep6_denominazione</f>
        <v>0</v>
      </c>
    </row>
    <row r="30" spans="1:4" ht="15" customHeight="1" x14ac:dyDescent="0.35">
      <c r="A30" s="11" t="s">
        <v>447</v>
      </c>
      <c r="B30" s="5"/>
      <c r="C30" s="6" t="s">
        <v>373</v>
      </c>
      <c r="D30" s="12">
        <f>ep7_denominazione</f>
        <v>0</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730</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SMART_CITIES_AND_COMMUNITIES</v>
      </c>
    </row>
    <row r="40" spans="1:4" ht="15" customHeight="1" x14ac:dyDescent="0.35">
      <c r="A40" s="11" t="s">
        <v>453</v>
      </c>
      <c r="B40" s="5"/>
      <c r="C40" s="6" t="s">
        <v>357</v>
      </c>
      <c r="D40" s="12" t="str">
        <f>ads2_principale</f>
        <v>SCC6 Smart Healthcare</v>
      </c>
    </row>
    <row r="41" spans="1:4" ht="15" customHeight="1" x14ac:dyDescent="0.35">
      <c r="A41" s="11" t="s">
        <v>454</v>
      </c>
      <c r="B41" s="5"/>
      <c r="C41" s="6" t="s">
        <v>358</v>
      </c>
      <c r="D41" s="12" t="str">
        <f>ads2_secondaria</f>
        <v>SCC1 Smart Living</v>
      </c>
    </row>
    <row r="42" spans="1:4" ht="15" customHeight="1" x14ac:dyDescent="0.35">
      <c r="A42" s="11" t="s">
        <v>455</v>
      </c>
      <c r="B42" s="5"/>
      <c r="C42" s="6" t="s">
        <v>475</v>
      </c>
      <c r="D42" s="12" t="str">
        <f>ads2_terziaria</f>
        <v>SCC8 Piattaforme di City Information e Urban Analytics</v>
      </c>
    </row>
    <row r="43" spans="1:4" ht="15" customHeight="1" x14ac:dyDescent="0.35">
      <c r="A43" s="11"/>
      <c r="B43" s="5"/>
      <c r="C43" s="5"/>
      <c r="D43" s="5"/>
    </row>
    <row r="44" spans="1:4" ht="15" customHeight="1" x14ac:dyDescent="0.35">
      <c r="A44" s="11" t="s">
        <v>456</v>
      </c>
      <c r="B44" s="5"/>
      <c r="C44" s="6" t="s">
        <v>363</v>
      </c>
      <c r="D44" s="12" t="str">
        <f>l1_tema</f>
        <v>INGEGNERIA MECCANICA</v>
      </c>
    </row>
    <row r="45" spans="1:4" ht="15" customHeight="1" x14ac:dyDescent="0.35">
      <c r="A45" s="11" t="s">
        <v>457</v>
      </c>
      <c r="B45" s="5"/>
      <c r="C45" s="6" t="s">
        <v>364</v>
      </c>
      <c r="D45" s="12">
        <f>l2_tema</f>
        <v>0</v>
      </c>
    </row>
    <row r="46" spans="1:4" ht="15" customHeight="1" x14ac:dyDescent="0.35">
      <c r="A46" s="11" t="s">
        <v>458</v>
      </c>
      <c r="B46" s="5"/>
      <c r="C46" s="6" t="s">
        <v>365</v>
      </c>
      <c r="D46" s="12">
        <f>dot_tema</f>
        <v>0</v>
      </c>
    </row>
    <row r="47" spans="1:4" ht="15" customHeight="1" x14ac:dyDescent="0.35">
      <c r="A47" s="11" t="s">
        <v>459</v>
      </c>
      <c r="B47" s="5"/>
      <c r="C47" s="6" t="s">
        <v>366</v>
      </c>
      <c r="D47" s="12" t="str">
        <f>m2l_tema</f>
        <v>MBA - MASTER IN DIREZIONE D'IMPRESA (ACCREDITATO ASFOR)</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row>
    <row r="51" spans="1:4" ht="15" customHeight="1" x14ac:dyDescent="0.35">
      <c r="A51" s="11"/>
      <c r="B51" s="5"/>
      <c r="C51" s="5"/>
      <c r="D51" s="5"/>
    </row>
    <row r="52" spans="1:4" ht="15" customHeight="1" x14ac:dyDescent="0.35">
      <c r="A52" s="11" t="s">
        <v>461</v>
      </c>
      <c r="B52" s="5"/>
      <c r="C52" s="6" t="s">
        <v>367</v>
      </c>
      <c r="D52" s="12" t="str">
        <f>ep1_denominazione</f>
        <v>RIATLAS SRL (START UP INNOVATIVA E SPIN OFF UNIVERSITA' DEGLI STUDI DI SALERNO)</v>
      </c>
    </row>
    <row r="53" spans="1:4" ht="15" customHeight="1" x14ac:dyDescent="0.35">
      <c r="A53" s="11" t="s">
        <v>462</v>
      </c>
      <c r="B53" s="5"/>
      <c r="C53" s="6" t="s">
        <v>368</v>
      </c>
      <c r="D53" s="12" t="str">
        <f>ep2_denominazione</f>
        <v>AB MEDICA</v>
      </c>
    </row>
    <row r="54" spans="1:4" ht="15" customHeight="1" x14ac:dyDescent="0.35">
      <c r="A54" s="11" t="s">
        <v>463</v>
      </c>
      <c r="B54" s="5"/>
      <c r="C54" s="6" t="s">
        <v>369</v>
      </c>
      <c r="D54" s="12" t="str">
        <f>ep3_denominazione</f>
        <v>MOMA SPA (SPIN OFF UNIVERSITA' DEGLI STUDI DI SALERNO)</v>
      </c>
    </row>
    <row r="55" spans="1:4" ht="15" customHeight="1" x14ac:dyDescent="0.35">
      <c r="A55" s="11" t="s">
        <v>464</v>
      </c>
      <c r="B55" s="5"/>
      <c r="C55" s="6" t="s">
        <v>370</v>
      </c>
      <c r="D55" s="12" t="str">
        <f>ep4_denominazione</f>
        <v>CRMPA – CENTRO DI RICERCA DI MATEMATICA PURA E APPLICATA dell’Università degli Studi di Salerno</v>
      </c>
    </row>
    <row r="56" spans="1:4" ht="15" customHeight="1" x14ac:dyDescent="0.35">
      <c r="A56" s="11" t="s">
        <v>465</v>
      </c>
      <c r="B56" s="5"/>
      <c r="C56" s="6" t="s">
        <v>371</v>
      </c>
      <c r="D56" s="12" t="str">
        <f>ep5_denominazione</f>
        <v>KPMG Management Consulting</v>
      </c>
    </row>
    <row r="57" spans="1:4" ht="15" customHeight="1" x14ac:dyDescent="0.35">
      <c r="A57" s="11" t="s">
        <v>466</v>
      </c>
      <c r="B57" s="5"/>
      <c r="C57" s="6" t="s">
        <v>372</v>
      </c>
      <c r="D57" s="12">
        <f>ep6_denominazione</f>
        <v>0</v>
      </c>
    </row>
    <row r="58" spans="1:4" ht="15" customHeight="1" x14ac:dyDescent="0.35">
      <c r="A58" s="11" t="s">
        <v>467</v>
      </c>
      <c r="B58" s="5"/>
      <c r="C58" s="6" t="s">
        <v>373</v>
      </c>
      <c r="D58" s="12">
        <f>ep7_denominazione</f>
        <v>0</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LUCA</v>
      </c>
      <c r="B2" s="24" t="str">
        <f>cognome</f>
        <v>ROMANELLI</v>
      </c>
      <c r="C2" s="24">
        <f>sesso</f>
        <v>0</v>
      </c>
      <c r="D2" s="24">
        <f>stato_nascita</f>
        <v>0</v>
      </c>
      <c r="E2" s="24">
        <f>comune_nascita</f>
        <v>0</v>
      </c>
      <c r="F2" s="24">
        <f>provincia_nascita</f>
        <v>0</v>
      </c>
      <c r="G2" s="24" t="str">
        <f>data_nascita</f>
        <v>1970</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t="str">
        <f>partita_iva</f>
        <v>10705160967</v>
      </c>
      <c r="R2" s="24" t="str">
        <f>intestatario_partita_iva</f>
        <v>ROMANELLI LUCA (DITTA INDIVIDUALE)</v>
      </c>
      <c r="S2" s="24">
        <f>telefono</f>
        <v>0</v>
      </c>
      <c r="T2" s="24">
        <f>cellulare</f>
        <v>0</v>
      </c>
      <c r="U2" s="24">
        <f>fax</f>
        <v>0</v>
      </c>
      <c r="V2" s="24">
        <f>email</f>
        <v>0</v>
      </c>
      <c r="W2" s="24">
        <f>pec</f>
        <v>0</v>
      </c>
      <c r="X2" s="24" t="str">
        <f>lingua_madre</f>
        <v>ITALIANO</v>
      </c>
      <c r="Y2" s="24" t="str">
        <f>lingua1</f>
        <v>INGLESE</v>
      </c>
      <c r="Z2" s="24" t="str">
        <f>lingua1_livello</f>
        <v>7 Professionale</v>
      </c>
      <c r="AA2" s="24">
        <f>lingua2</f>
        <v>0</v>
      </c>
      <c r="AB2" s="24">
        <f>lingua2_livello</f>
        <v>0</v>
      </c>
      <c r="AC2" s="24">
        <f>lingua3</f>
        <v>0</v>
      </c>
      <c r="AD2" s="24">
        <f>lingua3_livello</f>
        <v>0</v>
      </c>
      <c r="AE2" s="24" t="str">
        <f>spec_principale</f>
        <v>INDUSTRIA_DELLA_SALUTE</v>
      </c>
      <c r="AF2" s="24" t="str">
        <f>ads1_principale</f>
        <v>IS6 Nuovi approcci terapeutici</v>
      </c>
      <c r="AG2" s="24" t="str">
        <f>ads1_secondaria</f>
        <v>IS4 Disabilità e riabilitazione</v>
      </c>
      <c r="AH2" s="24" t="str">
        <f>ads1_terziaria</f>
        <v>IS3 Invecchiamento attivo</v>
      </c>
      <c r="AI2" s="24" t="str">
        <f>spec_secondaria</f>
        <v>SMART_CITIES_AND_COMMUNITIES</v>
      </c>
      <c r="AJ2" s="24" t="str">
        <f>ads2_principale</f>
        <v>SCC6 Smart Healthcare</v>
      </c>
      <c r="AK2" s="24" t="str">
        <f>ads2_secondaria</f>
        <v>SCC1 Smart Living</v>
      </c>
      <c r="AL2" s="24" t="str">
        <f>ads2_terziaria</f>
        <v>SCC8 Piattaforme di City Information e Urban Analytics</v>
      </c>
      <c r="AM2" s="24" t="str">
        <f>l1_tipo</f>
        <v>Vecchio ordinamento</v>
      </c>
      <c r="AN2" s="24" t="str">
        <f>l1_tema</f>
        <v>INGEGNERIA MECCANICA</v>
      </c>
      <c r="AO2" s="24" t="str">
        <f>l1_anno</f>
        <v>1996</v>
      </c>
      <c r="AP2" s="24" t="str">
        <f>l1_presso</f>
        <v>UNIVERSITA' DEGLI STUDI DI NAPOLI - FEDERICO II</v>
      </c>
      <c r="AQ2" s="24" t="str">
        <f>l1_titolo</f>
        <v>Studio per l’avviamento di una nuova linea produttiva in una azienda orientata alla qualità totale (TEXAS INSTRUMENTS)</v>
      </c>
      <c r="AR2" s="24" t="str">
        <f>l1_voto</f>
        <v>110/110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f>dot_tema</f>
        <v>0</v>
      </c>
      <c r="BH2" s="24">
        <f>dot_anno</f>
        <v>0</v>
      </c>
      <c r="BI2" s="24">
        <f>dot_presso</f>
        <v>0</v>
      </c>
      <c r="BJ2" s="24">
        <f>dot_titolo</f>
        <v>0</v>
      </c>
      <c r="BK2" s="24">
        <f>dot_voto</f>
        <v>0</v>
      </c>
      <c r="BL2" s="24" t="str">
        <f>m2l_tema</f>
        <v>MBA - MASTER IN DIREZIONE D'IMPRESA (ACCREDITATO ASFOR)</v>
      </c>
      <c r="BM2" s="24" t="str">
        <f>m2l_anno</f>
        <v>1997</v>
      </c>
      <c r="BN2" s="24" t="str">
        <f>m2l_presso</f>
        <v>S.D.O.A. Scuola di Direzione ed Organizzazione Aziendale – Fondazione A. Genovesi</v>
      </c>
      <c r="BO2" s="24">
        <f>m2l_titolo</f>
        <v>0</v>
      </c>
      <c r="BP2" s="24" t="str">
        <f>m2l_voto</f>
        <v>CON MERITO</v>
      </c>
      <c r="BQ2" s="24">
        <f>ep1_inizio</f>
        <v>42917</v>
      </c>
      <c r="BR2" s="24" t="str">
        <f>ep1_fine</f>
        <v>In corso</v>
      </c>
      <c r="BS2" s="24" t="str">
        <f>ep1_denominazione</f>
        <v>RIATLAS SRL (START UP INNOVATIVA E SPIN OFF UNIVERSITA' DEGLI STUDI DI SALERNO)</v>
      </c>
      <c r="BT2" s="24" t="str">
        <f>ep1_comune</f>
        <v xml:space="preserve">FISCIANO </v>
      </c>
      <c r="BU2" s="24" t="str">
        <f>ep1_provincia</f>
        <v>SA</v>
      </c>
      <c r="BV2" s="24" t="str">
        <f>ep1_dimensione</f>
        <v>1 Micro impresa (&lt; 10 dipendenti)</v>
      </c>
      <c r="BW2" s="24" t="str">
        <f>ep1_settore</f>
        <v>RICERCA E SVILUPPO; PRODUZIONE SOFTWARE</v>
      </c>
      <c r="BX2" s="24" t="str">
        <f>ep1_ambito</f>
        <v>Privato</v>
      </c>
      <c r="BY2" s="24" t="str">
        <f>ep1_rife</f>
        <v>Macro-area principale (MA1)</v>
      </c>
      <c r="BZ2" s="24" t="str">
        <f>ep1_attivita</f>
        <v>Sviluppo applicazioni di salute digitale (e-health), sfruttando le potenzialità dell’Intelligenza Artificiale. Progrettazione, valutazione, gestione e monitoraggio di progetti di ricerca, trasferimento tecnologico e innovazione digitale, a valere su bandi finanziati.</v>
      </c>
      <c r="CA2" s="24" t="str">
        <f>ep1_resp</f>
        <v xml:space="preserve">Coordimanento e gestione risorse umane. Project manager. Gestione rapporti istituzionali con ente erogatore, aziende ed istituti di ricerca.
</v>
      </c>
      <c r="CB2" s="24">
        <f>ep2_inizio</f>
        <v>41064</v>
      </c>
      <c r="CC2" s="24">
        <f>ep2_fine</f>
        <v>42916</v>
      </c>
      <c r="CD2" s="24" t="str">
        <f>ep2_denominazione</f>
        <v>AB MEDICA</v>
      </c>
      <c r="CE2" s="24" t="str">
        <f>ep2_comune</f>
        <v>CERRO MAGGIORE</v>
      </c>
      <c r="CF2" s="24" t="str">
        <f>ep2_provincia</f>
        <v>MI</v>
      </c>
      <c r="CG2" s="24" t="str">
        <f>ep2_dimensione</f>
        <v>4 Grande impresa o multinazionale</v>
      </c>
      <c r="CH2" s="24" t="str">
        <f>ep2_settore</f>
        <v>DISTRIBUTORE DISPOSITIVI MEDICALI; RICERCA E SVILUPPO</v>
      </c>
      <c r="CI2" s="24" t="str">
        <f>ep2_ambito</f>
        <v>Privato</v>
      </c>
      <c r="CJ2" s="24" t="str">
        <f>ep2_rife</f>
        <v>Macro-area principale (MA1)</v>
      </c>
      <c r="CK2" s="24" t="str">
        <f>ep2_attivita</f>
        <v>Progetti strategici di innovazione e trasferimento tecnologico per lo sviluppo di soluzioni e modelli socio-sanitari (telemedicina, biotecnologie, medical device) per le aziende del gruppo. Progettazione e sviluppo di applicazioni digitali per la presa in carico e monitoraggio da remoto dei pazienti. Predisposizione, progettazione e monitoraggio progetti di ricerca finanziata.</v>
      </c>
      <c r="CL2" s="24" t="str">
        <f>ep2_resp</f>
        <v>Coordinamento e gestione area ricerca e sviluppo. Responsabile rapporti istituzionali con enti ed istituti di ricerca. Project manager. Business development.</v>
      </c>
      <c r="CM2" s="24" t="str">
        <f>ep3_inizio</f>
        <v>02/11/2006</v>
      </c>
      <c r="CN2" s="24" t="str">
        <f>ep3_fine</f>
        <v>03/06/2012</v>
      </c>
      <c r="CO2" s="24" t="str">
        <f>ep3_denominazione</f>
        <v>MOMA SPA (SPIN OFF UNIVERSITA' DEGLI STUDI DI SALERNO)</v>
      </c>
      <c r="CP2" s="24" t="str">
        <f>ep3_comune</f>
        <v>FISCIANO</v>
      </c>
      <c r="CQ2" s="24" t="str">
        <f>ep3_provincia</f>
        <v>SA</v>
      </c>
      <c r="CR2" s="24" t="str">
        <f>ep3_dimensione</f>
        <v>2 Piccola impresa (&lt; 50 dipendenti)</v>
      </c>
      <c r="CS2" s="24" t="str">
        <f>ep3_settore</f>
        <v>PRODUZIONE E SVILUPPO SOFTWARE; RICERCA E SVILUPPO</v>
      </c>
      <c r="CT2" s="24" t="str">
        <f>ep3_ambito</f>
        <v>Privato</v>
      </c>
      <c r="CU2" s="24" t="str">
        <f>ep3_rife</f>
        <v>Entrambe</v>
      </c>
      <c r="CV2" s="24" t="str">
        <f>ep3_attivita</f>
        <v xml:space="preserve">Progettazione e sviluppo di soluzioni digitali innovative. Progettazione, pianificazione e controllo di gestione di progetti di ricerca a valere su finanziamenti comunitari.
</v>
      </c>
      <c r="CW2" s="24" t="str">
        <f>ep3_resp</f>
        <v>Gestione risorse umane. Project manager. Business development.</v>
      </c>
      <c r="CX2" s="24" t="str">
        <f>ep4_inizio</f>
        <v>07/11/2011</v>
      </c>
      <c r="CY2" s="24" t="str">
        <f>ep4_fine</f>
        <v>09/05/2012</v>
      </c>
      <c r="CZ2" s="24" t="str">
        <f>ep4_denominazione</f>
        <v>CRMPA – CENTRO DI RICERCA DI MATEMATICA PURA E APPLICATA dell’Università degli Studi di Salerno</v>
      </c>
      <c r="DA2" s="24" t="str">
        <f>ep4_comune</f>
        <v>FISCIANO</v>
      </c>
      <c r="DB2" s="24" t="str">
        <f>ep4_provincia</f>
        <v>SA</v>
      </c>
      <c r="DC2" s="24" t="str">
        <f>ep4_dimensione</f>
        <v>7 Università o centro di ricerca privato</v>
      </c>
      <c r="DD2" s="24" t="str">
        <f>ep4_settore</f>
        <v>RICERCA E SVILUPPO</v>
      </c>
      <c r="DE2" s="24" t="str">
        <f>ep4_ambito</f>
        <v>Privato</v>
      </c>
      <c r="DF2" s="24" t="str">
        <f>ep4_rife</f>
        <v>Entrambe</v>
      </c>
      <c r="DG2" s="24" t="str">
        <f>ep4_attivita</f>
        <v>Valutazione e monitoraggio fondi strutturali e programmi di finanziamento (PON, POR) in ambito ICT per la programmazione e sviluppo di interventi finanziati. Predisposizione, redazione e monitoraggio di iniziative di ricerca finanziata in ambito europeo e nazionale (oltre 20 tra PON/POR e progetti europei FP7).</v>
      </c>
      <c r="DH2" s="24" t="str">
        <f>ep4_resp</f>
        <v>Manager dell'organismo di ricerca (direttore operativo).</v>
      </c>
      <c r="DI2" s="24" t="str">
        <f>ep5_inizio</f>
        <v>01/09/1998</v>
      </c>
      <c r="DJ2" s="24" t="str">
        <f>ep5_fine</f>
        <v>31/10/2012</v>
      </c>
      <c r="DK2" s="24" t="str">
        <f>ep5_denominazione</f>
        <v>KPMG Management Consulting</v>
      </c>
      <c r="DL2" s="24" t="str">
        <f>ep5_comune</f>
        <v>MILANO</v>
      </c>
      <c r="DM2" s="24" t="str">
        <f>ep5_provincia</f>
        <v>MI</v>
      </c>
      <c r="DN2" s="24" t="str">
        <f>ep5_dimensione</f>
        <v>4 Grande impresa o multinazionale</v>
      </c>
      <c r="DO2" s="24" t="str">
        <f>ep5_settore</f>
        <v>CONSULENZA AZIENDALE</v>
      </c>
      <c r="DP2" s="24" t="str">
        <f>ep5_ambito</f>
        <v>Privato</v>
      </c>
      <c r="DQ2" s="24" t="str">
        <f>ep5_rife</f>
        <v>Entrambe</v>
      </c>
      <c r="DR2" s="24" t="str">
        <f>ep5_attivita</f>
        <v xml:space="preserve">Progettazione, implementazione e gestione di soluzioni informatiche presso top client. Assessment, monitoraggio e valutazione di implementazioni complesse di soluzioni ICT in ambito pubblico e privato. </v>
      </c>
      <c r="DS2" s="24" t="str">
        <f>ep5_resp</f>
        <v>Consulente e analista di processo. Project manager. Project &amp; Change Management per la gestione, valutazione e monitoraggio di progetti complessi in ambito ICT, anche presso il Global Consulting Solution Center di KPMG USA.</v>
      </c>
      <c r="DT2" s="24" t="str">
        <f>ep6_inizio</f>
        <v>gg/mm/aaaa</v>
      </c>
      <c r="DU2" s="24" t="str">
        <f>ep6_fine</f>
        <v>gg/mm/aaaa</v>
      </c>
      <c r="DV2" s="24">
        <f>ep6_denominazione</f>
        <v>0</v>
      </c>
      <c r="DW2" s="24">
        <f>ep6_comune</f>
        <v>0</v>
      </c>
      <c r="DX2" s="24">
        <f>ep6_provincia</f>
        <v>0</v>
      </c>
      <c r="DY2" s="24">
        <f>ep6_dimensione</f>
        <v>0</v>
      </c>
      <c r="DZ2" s="24">
        <f>ep6_settore</f>
        <v>0</v>
      </c>
      <c r="EA2" s="24">
        <f>ep6_ambito</f>
        <v>0</v>
      </c>
      <c r="EB2" s="24">
        <f>ep6_rife</f>
        <v>0</v>
      </c>
      <c r="EC2" s="24">
        <f>ep6_attivita</f>
        <v>0</v>
      </c>
      <c r="ED2" s="24">
        <f>ep6_resp</f>
        <v>0</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MIUR</v>
      </c>
      <c r="FX2" s="24" t="str">
        <f>bando1_ambito</f>
        <v>2 Nazionale</v>
      </c>
      <c r="FY2" s="24" t="str">
        <f>bando1_tema</f>
        <v>2 Ricerca industriale e sviluppo sperimentale</v>
      </c>
      <c r="FZ2" s="24" t="str">
        <f>bando1_misura</f>
        <v>Programma Operativo Nazionale “Ricerca e Competitività 2007-2013” Regioni Convergenza, D.D. 18 gennaio 2010 prot. n. 1/Ric. - 18/01/2010</v>
      </c>
      <c r="GA2" s="24" t="str">
        <f>bando1_descr</f>
        <v xml:space="preserve">Presentazione di progetti di ricerca industriale nell’ambito del  Programma Operativo Nazionale “Ricerca e Competitività 2007-2013” Regioni Convergenza ASSE I – Sostegno ai mutamenti strutturali  Obiettivo Operativo: Aree scientifico-tecnologiche generatrici di processi di trasformazione del sistema produttivo e creatrici di nuovi settori Azione: Interventi di sostegno della ricerca industriale </v>
      </c>
      <c r="GB2" s="24" t="str">
        <f>bando1_anno</f>
        <v>2010</v>
      </c>
      <c r="GC2" s="24" t="str">
        <f>bando1_proj_val</f>
        <v>1 Fino a 10</v>
      </c>
      <c r="GD2" s="24" t="str">
        <f>bando1_inv_medio</f>
        <v>6 Oltre 5.000.000 Euro</v>
      </c>
      <c r="GE2" s="24">
        <f>bando2_ente</f>
        <v>0</v>
      </c>
      <c r="GF2" s="24">
        <f>bando2_ambito</f>
        <v>0</v>
      </c>
      <c r="GG2" s="24">
        <f>bando2_tema</f>
        <v>0</v>
      </c>
      <c r="GH2" s="24">
        <f>bando2_misura</f>
        <v>0</v>
      </c>
      <c r="GI2" s="24">
        <f>bando2_descr</f>
        <v>0</v>
      </c>
      <c r="GJ2" s="24">
        <f>bando2_anno</f>
        <v>0</v>
      </c>
      <c r="GK2" s="24">
        <f>bando2_proj_val</f>
        <v>0</v>
      </c>
      <c r="GL2" s="24">
        <f>bando2_inv_medio</f>
        <v>0</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 xml:space="preserve">Sono un ingegnere meccanico, indirizzo gestionale (MO05), che ha conseguito un master MBA, in direzione d’impresa (MO08). Ho maturato un’esperienza pluriennale nell’ambito della ricerca, sviluppo e trasferimento tecnologico, sia nel settore Salute (MO01) che Smart cities and communities, presso aziende ed organismi di ricerca. 
Ho gestito numerosi progetti innovativi di digital health, a valere su bandi di finanziamento pubblico (regionale, nazionali ed europei), per la realizzazione di prodotti e servizi per la presa in carico, gestione e monitoraggio da remoto di pazienti (es. sviluppo soluzioni software per progetto CREG di Regione Lombardia) MO02 E  MO04, la neuro-riabilitazione MO03 e/o lo sviluppo di dispostivi medicali innovativi MO02 E MO03 (es. dispositivo EEg wireless, dispositivo ECG wireless). In particolare, ho gestito progetti di ricerca e sviluppo nel settore della Salute, a valere su bandi di: a) Regione Lombardia: ABILITY - Integrated platform enabling the remote delivery and control of physical and cognitive rehabilitation, and self management (2014-2015); THINK&amp;GO: Transfer Health INnovation through Knowledge &amp; Generate Organised technological approaches in rehabilitation (2013-2015); ARTE - Analisi EEG del Trattamento Robotico (2016-2018); b) MIUR Cluster TAV Lombardia: DESIGN FOR ALL - SW Interoperability and advance Human Machine Interfaces in design for Ambient Assisted Living, MIUR (2013-2016); c) MIUR Cluster Scienza della Vita: IRMI – Medicina rigenerativa.
Ho maturato specifiche competenze nella selezione, e progettazione di progetti di ricerca finanziati (bandi regionali, nazionali ed europei), dalla stesura della proposta fino al coordinamento del partenariato. Nell’esperienza presso il CRMPA – CENTRO DI RICERCA DI MATEMATICA PURA E APPLICATA dell’Università degli Studi di Salerno M018 e MOMA - spin off universitario M017 ho maturato specifiche competenze per la valutazione e monitoraggio tecnico di bandi (ex ante, ex post e in itinere), a valere su fondi di finanziamento regionali, nazionali ed europei, supportando l’attività di esperti valutatori.
</v>
      </c>
      <c r="GV2" s="24" t="str">
        <f>ads1_motivazioni_ep</f>
        <v xml:space="preserve">Attualmente sono impegnato nello sviluppo di una start-up innovativa RIATLAS (M015), spin-off universitario, per la realizzazione di soluzioni digitali per la salute, basate sull’Intelligenza Artificiale (M001). Mi occupo, inoltre, della progettazione e realizzazione di progetti di innovazione e trasformazione digitale per il settore salute (e-health), a valere su bandi di finanziamento per la ricerca e lo sviluppo sperimentale (PON, POR, H2020), in collaborazione con aziende e organismi di ricerca.
In AB MEDICA (MO16), leader nel settore medicale, ha guidato l’area ricerca e sviluppo, gestendo i rapporti istituzionali con enti di ricerca (Cluster Scienza della Vita e TAV) per le aziende del gruppo (Telbios Genomnia Rizzoli ATLC). In AB MEDICA mi sono anche occupato della digital trasformation del gruppo, gestendo progetti innovativi per lo sviluppo, il trasferimento, la certificazione e l’introduzione sul mercato di medical device.
Sono stato manager del centro di ricerca CRMPA (MO18) presso l’Università di Salerno e amministratore di MOMA SPA (MO17), coordinando e gestendo progetti di ricerca finanziati per l'area salute MO01 e Smart communities MO31. 
Ho gestito progetti organizzativi complessi di trasferimento tecnologico in KPMG (MO19), nell’ambito di implementazioni di soluzioni informatiche, anche con periodi all’estero presso la sede di Washington (Global Consulting Solution Center di KPMG USA). 
</v>
      </c>
      <c r="GW2" s="24">
        <f>ads2_motivazioni_cs</f>
        <v>0</v>
      </c>
      <c r="GX2" s="24">
        <f>ads2_motivazioni_ep</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Alessandro Chiesa</cp:lastModifiedBy>
  <cp:lastPrinted>2015-03-19T11:18:15Z</cp:lastPrinted>
  <dcterms:created xsi:type="dcterms:W3CDTF">2015-03-10T11:30:22Z</dcterms:created>
  <dcterms:modified xsi:type="dcterms:W3CDTF">2022-01-13T09:43:11Z</dcterms:modified>
  <cp:contentStatus>Finale</cp:contentStatus>
</cp:coreProperties>
</file>